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313"/>
  <workbookPr defaultThemeVersion="166925"/>
  <bookViews>
    <workbookView xWindow="0" yWindow="500" windowWidth="51200" windowHeight="26920" activeTab="3"/>
  </bookViews>
  <sheets>
    <sheet name="Krycí list rozpočtu" sheetId="4" r:id="rId1"/>
    <sheet name="Stavební rozpočet - součet" sheetId="2" r:id="rId2"/>
    <sheet name="Stavební rozpočet" sheetId="1" r:id="rId3"/>
    <sheet name="Výkaz výměr" sheetId="3" r:id="rId4"/>
  </sheets>
  <definedNames/>
  <calcPr calcId="191029"/>
  <extLst/>
</workbook>
</file>

<file path=xl/sharedStrings.xml><?xml version="1.0" encoding="utf-8"?>
<sst xmlns="http://schemas.openxmlformats.org/spreadsheetml/2006/main" count="729" uniqueCount="285">
  <si>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</si>
  <si>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</si>
  <si>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</si>
  <si>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</si>
  <si>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</si>
  <si>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</si>
  <si>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</si>
  <si>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</si>
  <si>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</si>
  <si>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</si>
  <si>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</si>
  <si>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</si>
  <si>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</si>
  <si>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</si>
  <si>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</si>
  <si>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</si>
  <si>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</si>
  <si>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</si>
  <si>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</si>
  <si>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</si>
  <si>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</si>
  <si>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</si>
  <si>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</si>
  <si>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</si>
  <si>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</si>
  <si>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</si>
  <si>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</si>
  <si>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</si>
  <si>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</si>
  <si>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</si>
  <si>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</si>
  <si>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</si>
  <si>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</si>
  <si>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</si>
  <si>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</si>
  <si>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</si>
  <si>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</si>
  <si>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</si>
  <si>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</si>
  <si>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</si>
  <si>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</si>
  <si>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</si>
  <si>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</si>
  <si>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</si>
  <si>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</si>
  <si>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</si>
  <si>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</si>
  <si>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</si>
  <si>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</si>
  <si>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</si>
  <si>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</si>
  <si>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</si>
  <si>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</si>
  <si>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Poznámka:</t>
  </si>
  <si>
    <t>Rozpočet obsahuje montáž uličního stožáru osvětlení, vč. dodávky, zemních prací, betonového základu, opravy dlažby, odvozu zeminy a skládkovného.</t>
  </si>
  <si>
    <t>Kód</t>
  </si>
  <si>
    <t>141721101R00</t>
  </si>
  <si>
    <t>460050703RT1</t>
  </si>
  <si>
    <t>182VD</t>
  </si>
  <si>
    <t>998001101VD</t>
  </si>
  <si>
    <t>725991811R00</t>
  </si>
  <si>
    <t>182001VD</t>
  </si>
  <si>
    <t>182003VD</t>
  </si>
  <si>
    <t>59</t>
  </si>
  <si>
    <t>599000010RAA</t>
  </si>
  <si>
    <t>59217011</t>
  </si>
  <si>
    <t>M102VD</t>
  </si>
  <si>
    <t>10200201VD</t>
  </si>
  <si>
    <t>M21</t>
  </si>
  <si>
    <t>210204011R00</t>
  </si>
  <si>
    <t>210204002R00</t>
  </si>
  <si>
    <t>210204103R00</t>
  </si>
  <si>
    <t>210202011R00</t>
  </si>
  <si>
    <t>210192574R00</t>
  </si>
  <si>
    <t>210901090RT1</t>
  </si>
  <si>
    <t>210810045RT1</t>
  </si>
  <si>
    <t>142      R00</t>
  </si>
  <si>
    <t>210220111R00</t>
  </si>
  <si>
    <t>13260865</t>
  </si>
  <si>
    <t>711122131RT1</t>
  </si>
  <si>
    <t>210220301RT2</t>
  </si>
  <si>
    <t>388996111R00</t>
  </si>
  <si>
    <t>220410931R00</t>
  </si>
  <si>
    <t>141      R00</t>
  </si>
  <si>
    <t>35711643.1</t>
  </si>
  <si>
    <t>13600206VD</t>
  </si>
  <si>
    <t>M46</t>
  </si>
  <si>
    <t>460200163RT2</t>
  </si>
  <si>
    <t>460200303RT2</t>
  </si>
  <si>
    <t>460200314RT1</t>
  </si>
  <si>
    <t>460560173RT1</t>
  </si>
  <si>
    <t>460560303RT1</t>
  </si>
  <si>
    <t>460560314RT1</t>
  </si>
  <si>
    <t>460420018RT1</t>
  </si>
  <si>
    <t>460490012R00</t>
  </si>
  <si>
    <t>460030057RT3</t>
  </si>
  <si>
    <t>460030061RT1</t>
  </si>
  <si>
    <t>460030061RZ1</t>
  </si>
  <si>
    <t>460050702RT1</t>
  </si>
  <si>
    <t>460080001RT1</t>
  </si>
  <si>
    <t>42981190</t>
  </si>
  <si>
    <t>180400020RA0</t>
  </si>
  <si>
    <t>460650012RT2</t>
  </si>
  <si>
    <t>0101VD</t>
  </si>
  <si>
    <t>0102VD</t>
  </si>
  <si>
    <t>0103VD</t>
  </si>
  <si>
    <t>0104VD</t>
  </si>
  <si>
    <t>01</t>
  </si>
  <si>
    <t>0102</t>
  </si>
  <si>
    <t>Veřejné osvětlení Radkova Lhota</t>
  </si>
  <si>
    <t>veřejné osvětlení</t>
  </si>
  <si>
    <t>Radkova Lhota</t>
  </si>
  <si>
    <t>Zkrácený popis</t>
  </si>
  <si>
    <t>Rozměry</t>
  </si>
  <si>
    <t>Ražení a hloubení tunelářské</t>
  </si>
  <si>
    <t>Řízené protlačení a vtažení PE d 110 mm, hor.1 - 4</t>
  </si>
  <si>
    <t>Jáma do 2 m3 pro protlak, hor.3,ručně</t>
  </si>
  <si>
    <t>Demontáž</t>
  </si>
  <si>
    <t>Montážní plošina</t>
  </si>
  <si>
    <t>Demontáž konzol jednoduchých</t>
  </si>
  <si>
    <t>Demontáž lamp VO</t>
  </si>
  <si>
    <t>Demontáž stávajících vodičů</t>
  </si>
  <si>
    <t>Kryty pozemních komunikací, letišť a ploch dlážděných (předlažby)</t>
  </si>
  <si>
    <t>Rozebrání a oprava asfaltové komunikace</t>
  </si>
  <si>
    <t>Obrubník silniční betonový 150x250x500 mm</t>
  </si>
  <si>
    <t>Ostatní náklady</t>
  </si>
  <si>
    <t>prostup v plast.rouře pro VO</t>
  </si>
  <si>
    <t>Elektromontáže VO</t>
  </si>
  <si>
    <t>Stožár osvětlovací ocelový STB 8</t>
  </si>
  <si>
    <t>Stožár osvětlovací sadový STB 5</t>
  </si>
  <si>
    <t>Výložník ocelový 1ramenný do 35 kg</t>
  </si>
  <si>
    <t>Svítidlo LED UniStreet Medium</t>
  </si>
  <si>
    <t>Svorkovnice stožárová</t>
  </si>
  <si>
    <t>Kabel silový AYKY 1kV 4 x 10 mm2 volně uložený</t>
  </si>
  <si>
    <t>Kabel CYKY-m 750 V 3 x 1,5 mm2 pevně uložený</t>
  </si>
  <si>
    <t>Přirážka za prořez kabelů</t>
  </si>
  <si>
    <t>Vodiče svodové FeZn D do 10,Al 10,Cu 8, bez podpěr</t>
  </si>
  <si>
    <t>Drát válcovaný kruhový jakost 11375  D 10 mm</t>
  </si>
  <si>
    <t>Gumoasfalt nátěr uzemnění země x vzduch</t>
  </si>
  <si>
    <t>Svorka hromosvodová do 2 šroubů SS FeZn</t>
  </si>
  <si>
    <t>Chránička kabelu z HDPE do DN 63 mm, výkop</t>
  </si>
  <si>
    <t>Montáž rozváděče VO</t>
  </si>
  <si>
    <t>Přirážka za podružný materiál  M 21, M 22</t>
  </si>
  <si>
    <t>Rozvaděč VO+plastový pilíř</t>
  </si>
  <si>
    <t>nožová pojistka PN 6A</t>
  </si>
  <si>
    <t>Zemní práce při montážích</t>
  </si>
  <si>
    <t>Výkop kabelové rýhy 35/80 cm  hor.3</t>
  </si>
  <si>
    <t>Výkop kabelové rýhy 50/120 cm hor.3</t>
  </si>
  <si>
    <t>Výkop kabelové rýhy 50/130 cm hor.4</t>
  </si>
  <si>
    <t>Zához rýhy 35/90 cm, hornina třídy 3</t>
  </si>
  <si>
    <t>Zához rýhy 50/120 cm, hornina třídy 3</t>
  </si>
  <si>
    <t>Zához rýhy 50/130 cm, hornina třídy 4</t>
  </si>
  <si>
    <t>Zřízení kabelového lože v rýze š.do 35 cm z písku tloušťka vrstvy 15 cm</t>
  </si>
  <si>
    <t>Fólie výstražná z PVC, šířka 33 cm</t>
  </si>
  <si>
    <t>Vytrhání beton. dlaždic, lože MC, vysypané spáry</t>
  </si>
  <si>
    <t>Kladení dlažby do lože z písku</t>
  </si>
  <si>
    <t>Kladení dlažby do lože z písku ze stávajících dlaždic</t>
  </si>
  <si>
    <t>Jáma do 2 m3 pro stožár veř.osvětlení, hor.2,ručně</t>
  </si>
  <si>
    <t>Betonový základ do zeminy bez bednění</t>
  </si>
  <si>
    <t>Roura D 300, délka 900</t>
  </si>
  <si>
    <t>Založení trávníku parkového, rovina, dodání osiva</t>
  </si>
  <si>
    <t>Podkladová vrstva ze štěrkodrtě tl.8 cm</t>
  </si>
  <si>
    <t>Ostatní materiál</t>
  </si>
  <si>
    <t>AMAKO</t>
  </si>
  <si>
    <t>PHILIPS</t>
  </si>
  <si>
    <t>Bečov</t>
  </si>
  <si>
    <t>PHILIPS kaplička</t>
  </si>
  <si>
    <t>dodávky</t>
  </si>
  <si>
    <t>Doba výstavby:</t>
  </si>
  <si>
    <t>Začátek výstavby:</t>
  </si>
  <si>
    <t>Konec výstavby:</t>
  </si>
  <si>
    <t>Zpracováno dne:</t>
  </si>
  <si>
    <t>245 dní</t>
  </si>
  <si>
    <t>31.12.2022</t>
  </si>
  <si>
    <t>06.03.2022</t>
  </si>
  <si>
    <t>MJ</t>
  </si>
  <si>
    <t>m</t>
  </si>
  <si>
    <t>m3</t>
  </si>
  <si>
    <t>hod</t>
  </si>
  <si>
    <t>kus</t>
  </si>
  <si>
    <t>ks</t>
  </si>
  <si>
    <t>m2</t>
  </si>
  <si>
    <t>%</t>
  </si>
  <si>
    <t>t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</si>
  <si>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</si>
  <si>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</si>
  <si>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</si>
  <si>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</si>
  <si>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</si>
  <si>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</si>
  <si>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</si>
  <si>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Obec Radkova Lhota</t>
  </si>
  <si>
    <t>Ing.Jana Šarniková</t>
  </si>
  <si>
    <t>Náklady (Kč)</t>
  </si>
  <si>
    <t>Dodávka</t>
  </si>
  <si>
    <t>Celkem:</t>
  </si>
  <si>
    <t>Montáž</t>
  </si>
  <si>
    <t>Celkem</t>
  </si>
  <si>
    <t>Cenová</t>
  </si>
  <si>
    <t>soustava</t>
  </si>
  <si>
    <t>RTS II / 2021</t>
  </si>
  <si>
    <t>RTS I / 2018</t>
  </si>
  <si>
    <t>RTS II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</si>
  <si>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</si>
  <si>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</si>
  <si>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</si>
  <si>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</si>
  <si>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</si>
  <si>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</si>
  <si>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</si>
  <si>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</si>
  <si>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</si>
  <si>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</si>
  <si>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14_</t>
  </si>
  <si>
    <t>182VD_</t>
  </si>
  <si>
    <t>59_</t>
  </si>
  <si>
    <t>M102VD_</t>
  </si>
  <si>
    <t>M21_</t>
  </si>
  <si>
    <t>M46_</t>
  </si>
  <si>
    <t>Z99999_</t>
  </si>
  <si>
    <t>1_</t>
  </si>
  <si>
    <t>5_</t>
  </si>
  <si>
    <t>9_</t>
  </si>
  <si>
    <t>Z_</t>
  </si>
  <si>
    <t>_</t>
  </si>
  <si>
    <t>MAT</t>
  </si>
  <si>
    <t>WORK</t>
  </si>
  <si>
    <t>CELK</t>
  </si>
  <si>
    <t>ISWORK</t>
  </si>
  <si>
    <t>P</t>
  </si>
  <si>
    <t>M</t>
  </si>
  <si>
    <t>GROUPCODE</t>
  </si>
  <si>
    <t>Slepý stavební rozpočet - rekapitulace</t>
  </si>
  <si>
    <t>Objekt</t>
  </si>
  <si>
    <t>Náklady (Kč) - dodávka</t>
  </si>
  <si>
    <t>Náklady (Kč) - Montáž</t>
  </si>
  <si>
    <t>Náklady (Kč) - celkem</t>
  </si>
  <si>
    <t>T</t>
  </si>
  <si>
    <t>Výkaz výměr</t>
  </si>
  <si>
    <t>Potřebné množství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</si>
  <si>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</si>
  <si>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</si>
  <si>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</si>
  <si>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</si>
  <si>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</si>
  <si>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</si>
  <si>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</si>
  <si>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</si>
  <si>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</si>
  <si>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</si>
  <si>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</si>
  <si>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</si>
  <si>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</si>
  <si>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</si>
  <si>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</si>
  <si>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</si>
  <si>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</si>
  <si>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</si>
  <si>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</si>
  <si>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</si>
  <si>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</si>
  <si>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</si>
  <si>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</si>
  <si>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</si>
  <si>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</si>
  <si>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</si>
  <si>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</si>
  <si>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</si>
  <si>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</si>
  <si>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</si>
  <si>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</si>
  <si>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</si>
  <si>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</si>
  <si>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</si>
  <si>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</si>
  <si>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</si>
  <si>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</si>
  <si>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</si>
  <si>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</si>
  <si>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</si>
  <si>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</si>
  <si>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</si>
  <si>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</si>
  <si>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00636509/</t>
  </si>
  <si>
    <t>16653998/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</si>
</sst>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CED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49" fontId="3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lef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9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10" fillId="3" borderId="12" xfId="0" applyNumberFormat="1" applyFont="1" applyFill="1" applyBorder="1" applyAlignment="1" applyProtection="1">
      <alignment horizontal="center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16" xfId="0" applyNumberFormat="1" applyFont="1" applyFill="1" applyBorder="1" applyAlignment="1" applyProtection="1">
      <alignment horizontal="left" vertical="center"/>
      <protection/>
    </xf>
    <xf numFmtId="49" fontId="12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" fontId="12" fillId="0" borderId="12" xfId="0" applyNumberFormat="1" applyFont="1" applyFill="1" applyBorder="1" applyAlignment="1" applyProtection="1">
      <alignment horizontal="right" vertical="center"/>
      <protection/>
    </xf>
    <xf numFmtId="49" fontId="12" fillId="0" borderId="12" xfId="0" applyNumberFormat="1" applyFont="1" applyFill="1" applyBorder="1" applyAlignment="1" applyProtection="1">
      <alignment horizontal="right" vertical="center"/>
      <protection/>
    </xf>
    <xf numFmtId="4" fontId="12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" fontId="11" fillId="3" borderId="23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2" fillId="4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4" fontId="5" fillId="4" borderId="0" xfId="0" applyNumberFormat="1" applyFont="1" applyFill="1" applyBorder="1" applyAlignment="1" applyProtection="1">
      <alignment horizontal="right" vertical="center"/>
      <protection locked="0"/>
    </xf>
    <xf numFmtId="4" fontId="6" fillId="4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/>
      <protection/>
    </xf>
    <xf numFmtId="0" fontId="1" fillId="0" borderId="6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49" fontId="13" fillId="0" borderId="22" xfId="0" applyNumberFormat="1" applyFont="1" applyFill="1" applyBorder="1" applyAlignment="1" applyProtection="1">
      <alignment horizontal="left" vertical="center"/>
      <protection/>
    </xf>
    <xf numFmtId="0" fontId="13" fillId="0" borderId="23" xfId="0" applyNumberFormat="1" applyFont="1" applyFill="1" applyBorder="1" applyAlignment="1" applyProtection="1">
      <alignment horizontal="left" vertical="center"/>
      <protection/>
    </xf>
    <xf numFmtId="49" fontId="12" fillId="0" borderId="22" xfId="0" applyNumberFormat="1" applyFont="1" applyFill="1" applyBorder="1" applyAlignment="1" applyProtection="1">
      <alignment horizontal="left" vertical="center"/>
      <protection/>
    </xf>
    <xf numFmtId="0" fontId="12" fillId="0" borderId="23" xfId="0" applyNumberFormat="1" applyFont="1" applyFill="1" applyBorder="1" applyAlignment="1" applyProtection="1">
      <alignment horizontal="left" vertical="center"/>
      <protection/>
    </xf>
    <xf numFmtId="49" fontId="11" fillId="0" borderId="22" xfId="0" applyNumberFormat="1" applyFont="1" applyFill="1" applyBorder="1" applyAlignment="1" applyProtection="1">
      <alignment horizontal="left" vertical="center"/>
      <protection/>
    </xf>
    <xf numFmtId="0" fontId="11" fillId="0" borderId="23" xfId="0" applyNumberFormat="1" applyFont="1" applyFill="1" applyBorder="1" applyAlignment="1" applyProtection="1">
      <alignment horizontal="left" vertical="center"/>
      <protection/>
    </xf>
    <xf numFmtId="49" fontId="11" fillId="3" borderId="22" xfId="0" applyNumberFormat="1" applyFont="1" applyFill="1" applyBorder="1" applyAlignment="1" applyProtection="1">
      <alignment horizontal="left" vertical="center"/>
      <protection/>
    </xf>
    <xf numFmtId="0" fontId="11" fillId="3" borderId="26" xfId="0" applyNumberFormat="1" applyFont="1" applyFill="1" applyBorder="1" applyAlignment="1" applyProtection="1">
      <alignment horizontal="left" vertical="center"/>
      <protection/>
    </xf>
    <xf numFmtId="49" fontId="12" fillId="0" borderId="27" xfId="0" applyNumberFormat="1" applyFont="1" applyFill="1" applyBorder="1" applyAlignment="1" applyProtection="1">
      <alignment horizontal="left" vertical="center"/>
      <protection/>
    </xf>
    <xf numFmtId="0" fontId="12" fillId="0" borderId="16" xfId="0" applyNumberFormat="1" applyFont="1" applyFill="1" applyBorder="1" applyAlignment="1" applyProtection="1">
      <alignment horizontal="left" vertical="center"/>
      <protection/>
    </xf>
    <xf numFmtId="0" fontId="12" fillId="0" borderId="28" xfId="0" applyNumberFormat="1" applyFont="1" applyFill="1" applyBorder="1" applyAlignment="1" applyProtection="1">
      <alignment horizontal="left" vertical="center"/>
      <protection/>
    </xf>
    <xf numFmtId="49" fontId="12" fillId="0" borderId="7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29" xfId="0" applyNumberFormat="1" applyFont="1" applyFill="1" applyBorder="1" applyAlignment="1" applyProtection="1">
      <alignment horizontal="left" vertical="center"/>
      <protection/>
    </xf>
    <xf numFmtId="49" fontId="12" fillId="0" borderId="30" xfId="0" applyNumberFormat="1" applyFont="1" applyFill="1" applyBorder="1" applyAlignment="1" applyProtection="1">
      <alignment horizontal="left" vertical="center"/>
      <protection/>
    </xf>
    <xf numFmtId="0" fontId="12" fillId="0" borderId="31" xfId="0" applyNumberFormat="1" applyFont="1" applyFill="1" applyBorder="1" applyAlignment="1" applyProtection="1">
      <alignment horizontal="left" vertical="center"/>
      <protection/>
    </xf>
    <xf numFmtId="0" fontId="12" fillId="0" borderId="32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49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0" fontId="8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39" xfId="0" applyNumberFormat="1" applyFont="1" applyFill="1" applyBorder="1" applyAlignment="1" applyProtection="1">
      <alignment horizontal="left" vertical="center"/>
      <protection/>
    </xf>
    <xf numFmtId="0" fontId="3" fillId="0" borderId="40" xfId="0" applyNumberFormat="1" applyFont="1" applyFill="1" applyBorder="1" applyAlignment="1" applyProtection="1">
      <alignment horizontal="left" vertical="center"/>
      <protection/>
    </xf>
    <xf numFmtId="49" fontId="1" fillId="0" borderId="41" xfId="0" applyNumberFormat="1" applyFont="1" applyFill="1" applyBorder="1" applyAlignment="1" applyProtection="1">
      <alignment horizontal="left" vertical="center"/>
      <protection/>
    </xf>
    <xf numFmtId="49" fontId="1" fillId="0" borderId="42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45" xfId="0" applyNumberFormat="1" applyFont="1" applyFill="1" applyBorder="1" applyAlignment="1" applyProtection="1">
      <alignment horizontal="center" vertical="center"/>
      <protection/>
    </xf>
    <xf numFmtId="49" fontId="3" fillId="0" borderId="46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314325</xdr:colOff>
      <xdr:row>0</xdr:row>
      <xdr:rowOff>885825</xdr:rowOff>
    </xdr:to>
    <xdr:pic>
      <xdr:nvPicPr>
        <xdr:cNvPr id="411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476250</xdr:colOff>
      <xdr:row>0</xdr:row>
      <xdr:rowOff>885825</xdr:rowOff>
    </xdr:to>
    <xdr:pic>
      <xdr:nvPicPr>
        <xdr:cNvPr id="206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525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762000</xdr:colOff>
      <xdr:row>0</xdr:row>
      <xdr:rowOff>885825</xdr:rowOff>
    </xdr:to>
    <xdr:pic>
      <xdr:nvPicPr>
        <xdr:cNvPr id="107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096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0</xdr:row>
      <xdr:rowOff>885825</xdr:rowOff>
    </xdr:to>
    <xdr:pic>
      <xdr:nvPicPr>
        <xdr:cNvPr id="3091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429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workbookViewId="0" topLeftCell="A1">
      <selection activeCell="L46" sqref="L46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3" customHeight="1">
      <c r="A1" s="43"/>
      <c r="B1" s="26"/>
      <c r="C1" s="54" t="s">
        <v>254</v>
      </c>
      <c r="D1" s="55"/>
      <c r="E1" s="55"/>
      <c r="F1" s="55"/>
      <c r="G1" s="55"/>
      <c r="H1" s="55"/>
      <c r="I1" s="55"/>
    </row>
    <row r="2" spans="1:10" ht="12.75">
      <c r="A2" s="56" t="s">
        <v>1</v>
      </c>
      <c r="B2" s="57"/>
      <c r="C2" s="60" t="str">
        <f>'Stavební rozpočet'!C2</f>
        <v>Veřejné osvětlení Radkova Lhota</v>
      </c>
      <c r="D2" s="61"/>
      <c r="E2" s="63" t="s">
        <v>185</v>
      </c>
      <c r="F2" s="63" t="str">
        <f>'Stavební rozpočet'!J2</f>
        <v>Obec Radkova Lhota</v>
      </c>
      <c r="G2" s="57"/>
      <c r="H2" s="63" t="s">
        <v>279</v>
      </c>
      <c r="I2" s="64" t="s">
        <v>283</v>
      </c>
      <c r="J2" s="11"/>
    </row>
    <row r="3" spans="1:10" ht="12.75">
      <c r="A3" s="58"/>
      <c r="B3" s="59"/>
      <c r="C3" s="62"/>
      <c r="D3" s="62"/>
      <c r="E3" s="59"/>
      <c r="F3" s="59"/>
      <c r="G3" s="59"/>
      <c r="H3" s="59"/>
      <c r="I3" s="65"/>
      <c r="J3" s="11"/>
    </row>
    <row r="4" spans="1:10" ht="12.75">
      <c r="A4" s="66" t="s">
        <v>2</v>
      </c>
      <c r="B4" s="59"/>
      <c r="C4" s="67" t="str">
        <f>'Stavební rozpočet'!C4</f>
        <v>veřejné osvětlení</v>
      </c>
      <c r="D4" s="59"/>
      <c r="E4" s="67" t="s">
        <v>186</v>
      </c>
      <c r="F4" s="67" t="str">
        <f>'Stavební rozpočet'!J4</f>
        <v>Ing.Jana Šarniková</v>
      </c>
      <c r="G4" s="59"/>
      <c r="H4" s="67" t="s">
        <v>279</v>
      </c>
      <c r="I4" s="68" t="s">
        <v>284</v>
      </c>
      <c r="J4" s="11"/>
    </row>
    <row r="5" spans="1:10" ht="12.75">
      <c r="A5" s="58"/>
      <c r="B5" s="59"/>
      <c r="C5" s="59"/>
      <c r="D5" s="59"/>
      <c r="E5" s="59"/>
      <c r="F5" s="59"/>
      <c r="G5" s="59"/>
      <c r="H5" s="59"/>
      <c r="I5" s="65"/>
      <c r="J5" s="11"/>
    </row>
    <row r="6" spans="1:10" ht="12.75">
      <c r="A6" s="66" t="s">
        <v>3</v>
      </c>
      <c r="B6" s="59"/>
      <c r="C6" s="67" t="str">
        <f>'Stavební rozpočet'!C6</f>
        <v>Radkova Lhota</v>
      </c>
      <c r="D6" s="59"/>
      <c r="E6" s="67" t="s">
        <v>187</v>
      </c>
      <c r="F6" s="67" t="str">
        <f>'Stavební rozpočet'!J6</f>
        <v>Ing.Jana Šarniková</v>
      </c>
      <c r="G6" s="59"/>
      <c r="H6" s="67" t="s">
        <v>279</v>
      </c>
      <c r="I6" s="68" t="s">
        <v>284</v>
      </c>
      <c r="J6" s="11"/>
    </row>
    <row r="7" spans="1:10" ht="12.75">
      <c r="A7" s="58"/>
      <c r="B7" s="59"/>
      <c r="C7" s="59"/>
      <c r="D7" s="59"/>
      <c r="E7" s="59"/>
      <c r="F7" s="59"/>
      <c r="G7" s="59"/>
      <c r="H7" s="59"/>
      <c r="I7" s="65"/>
      <c r="J7" s="11"/>
    </row>
    <row r="8" spans="1:10" ht="12.75">
      <c r="A8" s="66" t="s">
        <v>169</v>
      </c>
      <c r="B8" s="59"/>
      <c r="C8" s="67" t="str">
        <f>'Stavební rozpočet'!G4</f>
        <v xml:space="preserve"> </v>
      </c>
      <c r="D8" s="59"/>
      <c r="E8" s="67" t="s">
        <v>170</v>
      </c>
      <c r="F8" s="67" t="str">
        <f>'Stavební rozpočet'!G6</f>
        <v>31.12.2022</v>
      </c>
      <c r="G8" s="59"/>
      <c r="H8" s="69" t="s">
        <v>280</v>
      </c>
      <c r="I8" s="68" t="s">
        <v>52</v>
      </c>
      <c r="J8" s="11"/>
    </row>
    <row r="9" spans="1:10" ht="12.75">
      <c r="A9" s="58"/>
      <c r="B9" s="59"/>
      <c r="C9" s="59"/>
      <c r="D9" s="59"/>
      <c r="E9" s="59"/>
      <c r="F9" s="59"/>
      <c r="G9" s="59"/>
      <c r="H9" s="59"/>
      <c r="I9" s="65"/>
      <c r="J9" s="11"/>
    </row>
    <row r="10" spans="1:10" ht="12.75">
      <c r="A10" s="66" t="s">
        <v>4</v>
      </c>
      <c r="B10" s="59"/>
      <c r="C10" s="67">
        <f>'Stavební rozpočet'!C8</f>
        <v>82875</v>
      </c>
      <c r="D10" s="59"/>
      <c r="E10" s="67" t="s">
        <v>188</v>
      </c>
      <c r="F10" s="67" t="str">
        <f>'Stavební rozpočet'!J8</f>
        <v>Ing.Jana Šarniková</v>
      </c>
      <c r="G10" s="59"/>
      <c r="H10" s="69" t="s">
        <v>281</v>
      </c>
      <c r="I10" s="72" t="str">
        <f>'Stavební rozpočet'!G8</f>
        <v>06.03.2022</v>
      </c>
      <c r="J10" s="11"/>
    </row>
    <row r="11" spans="1:10" ht="12.75">
      <c r="A11" s="70"/>
      <c r="B11" s="71"/>
      <c r="C11" s="71"/>
      <c r="D11" s="71"/>
      <c r="E11" s="71"/>
      <c r="F11" s="71"/>
      <c r="G11" s="71"/>
      <c r="H11" s="71"/>
      <c r="I11" s="73"/>
      <c r="J11" s="11"/>
    </row>
    <row r="12" spans="1:9" ht="23.5" customHeight="1">
      <c r="A12" s="74" t="s">
        <v>240</v>
      </c>
      <c r="B12" s="75"/>
      <c r="C12" s="75"/>
      <c r="D12" s="75"/>
      <c r="E12" s="75"/>
      <c r="F12" s="75"/>
      <c r="G12" s="75"/>
      <c r="H12" s="75"/>
      <c r="I12" s="75"/>
    </row>
    <row r="13" spans="1:10" ht="26.5" customHeight="1">
      <c r="A13" s="27" t="s">
        <v>241</v>
      </c>
      <c r="B13" s="76" t="s">
        <v>252</v>
      </c>
      <c r="C13" s="77"/>
      <c r="D13" s="27" t="s">
        <v>255</v>
      </c>
      <c r="E13" s="76" t="s">
        <v>264</v>
      </c>
      <c r="F13" s="77"/>
      <c r="G13" s="27" t="s">
        <v>265</v>
      </c>
      <c r="H13" s="76" t="s">
        <v>282</v>
      </c>
      <c r="I13" s="77"/>
      <c r="J13" s="11"/>
    </row>
    <row r="14" spans="1:10" ht="15" customHeight="1">
      <c r="A14" s="28" t="s">
        <v>242</v>
      </c>
      <c r="B14" s="32" t="s">
        <v>253</v>
      </c>
      <c r="C14" s="36">
        <f>SUM('Stavební rozpočet'!AB12:AB66)</f>
        <v>0</v>
      </c>
      <c r="D14" s="78" t="s">
        <v>256</v>
      </c>
      <c r="E14" s="79"/>
      <c r="F14" s="36">
        <v>0</v>
      </c>
      <c r="G14" s="78" t="s">
        <v>266</v>
      </c>
      <c r="H14" s="79"/>
      <c r="I14" s="45"/>
      <c r="J14" s="11"/>
    </row>
    <row r="15" spans="1:10" ht="15" customHeight="1">
      <c r="A15" s="29"/>
      <c r="B15" s="32" t="s">
        <v>196</v>
      </c>
      <c r="C15" s="36">
        <f>SUM('Stavební rozpočet'!AC12:AC66)</f>
        <v>0</v>
      </c>
      <c r="D15" s="78" t="s">
        <v>257</v>
      </c>
      <c r="E15" s="79"/>
      <c r="F15" s="36">
        <v>0</v>
      </c>
      <c r="G15" s="78" t="s">
        <v>267</v>
      </c>
      <c r="H15" s="79"/>
      <c r="I15" s="45"/>
      <c r="J15" s="11"/>
    </row>
    <row r="16" spans="1:10" ht="15" customHeight="1">
      <c r="A16" s="28" t="s">
        <v>243</v>
      </c>
      <c r="B16" s="32" t="s">
        <v>253</v>
      </c>
      <c r="C16" s="36">
        <f>SUM('Stavební rozpočet'!AD12:AD66)</f>
        <v>0</v>
      </c>
      <c r="D16" s="78" t="s">
        <v>258</v>
      </c>
      <c r="E16" s="79"/>
      <c r="F16" s="36">
        <v>0</v>
      </c>
      <c r="G16" s="78" t="s">
        <v>268</v>
      </c>
      <c r="H16" s="79"/>
      <c r="I16" s="45"/>
      <c r="J16" s="11"/>
    </row>
    <row r="17" spans="1:10" ht="15" customHeight="1">
      <c r="A17" s="29"/>
      <c r="B17" s="32" t="s">
        <v>196</v>
      </c>
      <c r="C17" s="36">
        <f>SUM('Stavební rozpočet'!AE12:AE66)</f>
        <v>0</v>
      </c>
      <c r="D17" s="78"/>
      <c r="E17" s="79"/>
      <c r="F17" s="37"/>
      <c r="G17" s="78" t="s">
        <v>269</v>
      </c>
      <c r="H17" s="79"/>
      <c r="I17" s="45"/>
      <c r="J17" s="11"/>
    </row>
    <row r="18" spans="1:10" ht="15" customHeight="1">
      <c r="A18" s="28" t="s">
        <v>244</v>
      </c>
      <c r="B18" s="32" t="s">
        <v>253</v>
      </c>
      <c r="C18" s="36">
        <f>SUM('Stavební rozpočet'!AF12:AF66)</f>
        <v>0</v>
      </c>
      <c r="D18" s="78"/>
      <c r="E18" s="79"/>
      <c r="F18" s="37"/>
      <c r="G18" s="78" t="s">
        <v>270</v>
      </c>
      <c r="H18" s="79"/>
      <c r="I18" s="45"/>
      <c r="J18" s="11"/>
    </row>
    <row r="19" spans="1:10" ht="15" customHeight="1">
      <c r="A19" s="29"/>
      <c r="B19" s="32" t="s">
        <v>196</v>
      </c>
      <c r="C19" s="36">
        <f>SUM('Stavební rozpočet'!AG12:AG66)</f>
        <v>0</v>
      </c>
      <c r="D19" s="78"/>
      <c r="E19" s="79"/>
      <c r="F19" s="37"/>
      <c r="G19" s="78" t="s">
        <v>271</v>
      </c>
      <c r="H19" s="79"/>
      <c r="I19" s="45"/>
      <c r="J19" s="11"/>
    </row>
    <row r="20" spans="1:10" ht="15" customHeight="1">
      <c r="A20" s="80" t="s">
        <v>162</v>
      </c>
      <c r="B20" s="81"/>
      <c r="C20" s="36">
        <f>SUM('Stavební rozpočet'!AH12:AH66)</f>
        <v>0</v>
      </c>
      <c r="D20" s="78"/>
      <c r="E20" s="79"/>
      <c r="F20" s="37"/>
      <c r="G20" s="78"/>
      <c r="H20" s="79"/>
      <c r="I20" s="37"/>
      <c r="J20" s="11"/>
    </row>
    <row r="21" spans="1:10" ht="15" customHeight="1">
      <c r="A21" s="80" t="s">
        <v>245</v>
      </c>
      <c r="B21" s="81"/>
      <c r="C21" s="36">
        <f>SUM('Stavební rozpočet'!Z12:Z66)</f>
        <v>0</v>
      </c>
      <c r="D21" s="78"/>
      <c r="E21" s="79"/>
      <c r="F21" s="37"/>
      <c r="G21" s="78"/>
      <c r="H21" s="79"/>
      <c r="I21" s="37"/>
      <c r="J21" s="11"/>
    </row>
    <row r="22" spans="1:10" ht="16.5" customHeight="1">
      <c r="A22" s="80" t="s">
        <v>246</v>
      </c>
      <c r="B22" s="81"/>
      <c r="C22" s="36">
        <f>SUM(C14:C21)</f>
        <v>0</v>
      </c>
      <c r="D22" s="80" t="s">
        <v>259</v>
      </c>
      <c r="E22" s="81"/>
      <c r="F22" s="36">
        <f>SUM(F14:F21)</f>
        <v>0</v>
      </c>
      <c r="G22" s="80" t="s">
        <v>272</v>
      </c>
      <c r="H22" s="81"/>
      <c r="I22" s="36">
        <f>SUM(I14:I21)</f>
        <v>0</v>
      </c>
      <c r="J22" s="11"/>
    </row>
    <row r="23" spans="1:10" ht="15" customHeight="1">
      <c r="A23" s="2"/>
      <c r="B23" s="2"/>
      <c r="C23" s="34"/>
      <c r="D23" s="80" t="s">
        <v>260</v>
      </c>
      <c r="E23" s="81"/>
      <c r="F23" s="38">
        <v>0</v>
      </c>
      <c r="G23" s="80" t="s">
        <v>273</v>
      </c>
      <c r="H23" s="81"/>
      <c r="I23" s="36">
        <v>0</v>
      </c>
      <c r="J23" s="11"/>
    </row>
    <row r="24" spans="4:9" ht="15" customHeight="1">
      <c r="D24" s="2"/>
      <c r="E24" s="2"/>
      <c r="F24" s="39"/>
      <c r="G24" s="80" t="s">
        <v>274</v>
      </c>
      <c r="H24" s="81"/>
      <c r="I24" s="41"/>
    </row>
    <row r="25" spans="6:10" ht="15" customHeight="1">
      <c r="F25" s="40"/>
      <c r="G25" s="80" t="s">
        <v>275</v>
      </c>
      <c r="H25" s="81"/>
      <c r="I25" s="36">
        <v>0</v>
      </c>
      <c r="J25" s="11"/>
    </row>
    <row r="26" spans="1:9" ht="12.75">
      <c r="A26" s="26"/>
      <c r="B26" s="26"/>
      <c r="C26" s="26"/>
      <c r="G26" s="2"/>
      <c r="H26" s="2"/>
      <c r="I26" s="2"/>
    </row>
    <row r="27" spans="1:9" ht="15" customHeight="1">
      <c r="A27" s="82" t="s">
        <v>247</v>
      </c>
      <c r="B27" s="83"/>
      <c r="C27" s="42">
        <f>SUM('Stavební rozpočet'!AJ12:AJ66)</f>
        <v>0</v>
      </c>
      <c r="D27" s="35"/>
      <c r="E27" s="26"/>
      <c r="F27" s="26"/>
      <c r="G27" s="26"/>
      <c r="H27" s="26"/>
      <c r="I27" s="26"/>
    </row>
    <row r="28" spans="1:10" ht="15" customHeight="1">
      <c r="A28" s="82" t="s">
        <v>248</v>
      </c>
      <c r="B28" s="83"/>
      <c r="C28" s="42">
        <f>SUM('Stavební rozpočet'!AK12:AK66)</f>
        <v>0</v>
      </c>
      <c r="D28" s="82" t="s">
        <v>261</v>
      </c>
      <c r="E28" s="83"/>
      <c r="F28" s="42">
        <f>ROUND(C28*(15/100),2)</f>
        <v>0</v>
      </c>
      <c r="G28" s="82" t="s">
        <v>276</v>
      </c>
      <c r="H28" s="83"/>
      <c r="I28" s="42">
        <f>SUM(C27:C29)</f>
        <v>0</v>
      </c>
      <c r="J28" s="11"/>
    </row>
    <row r="29" spans="1:10" ht="15" customHeight="1">
      <c r="A29" s="82" t="s">
        <v>249</v>
      </c>
      <c r="B29" s="83"/>
      <c r="C29" s="42">
        <f>SUM('Stavební rozpočet'!AL12:AL66)+(F22+I22+F23+I23+I24+I25)</f>
        <v>0</v>
      </c>
      <c r="D29" s="82" t="s">
        <v>262</v>
      </c>
      <c r="E29" s="83"/>
      <c r="F29" s="42">
        <f>ROUND(C29*(21/100),2)</f>
        <v>0</v>
      </c>
      <c r="G29" s="82" t="s">
        <v>277</v>
      </c>
      <c r="H29" s="83"/>
      <c r="I29" s="42">
        <f>SUM(F28:F29)+I28</f>
        <v>0</v>
      </c>
      <c r="J29" s="11"/>
    </row>
    <row r="30" spans="1:9" ht="12.75">
      <c r="A30" s="30"/>
      <c r="B30" s="30"/>
      <c r="C30" s="30"/>
      <c r="D30" s="30"/>
      <c r="E30" s="30"/>
      <c r="F30" s="30"/>
      <c r="G30" s="30"/>
      <c r="H30" s="30"/>
      <c r="I30" s="30"/>
    </row>
    <row r="31" spans="1:10" ht="14.25" customHeight="1">
      <c r="A31" s="84" t="s">
        <v>250</v>
      </c>
      <c r="B31" s="85"/>
      <c r="C31" s="86"/>
      <c r="D31" s="84" t="s">
        <v>263</v>
      </c>
      <c r="E31" s="85"/>
      <c r="F31" s="86"/>
      <c r="G31" s="84" t="s">
        <v>278</v>
      </c>
      <c r="H31" s="85"/>
      <c r="I31" s="86"/>
      <c r="J31" s="12"/>
    </row>
    <row r="32" spans="1:10" ht="14.25" customHeight="1">
      <c r="A32" s="87"/>
      <c r="B32" s="88"/>
      <c r="C32" s="89"/>
      <c r="D32" s="87"/>
      <c r="E32" s="88"/>
      <c r="F32" s="89"/>
      <c r="G32" s="87"/>
      <c r="H32" s="88"/>
      <c r="I32" s="89"/>
      <c r="J32" s="12"/>
    </row>
    <row r="33" spans="1:10" ht="14.25" customHeight="1">
      <c r="A33" s="87"/>
      <c r="B33" s="88"/>
      <c r="C33" s="89"/>
      <c r="D33" s="87"/>
      <c r="E33" s="88"/>
      <c r="F33" s="89"/>
      <c r="G33" s="87"/>
      <c r="H33" s="88"/>
      <c r="I33" s="89"/>
      <c r="J33" s="12"/>
    </row>
    <row r="34" spans="1:10" ht="14.25" customHeight="1">
      <c r="A34" s="87"/>
      <c r="B34" s="88"/>
      <c r="C34" s="89"/>
      <c r="D34" s="87"/>
      <c r="E34" s="88"/>
      <c r="F34" s="89"/>
      <c r="G34" s="87"/>
      <c r="H34" s="88"/>
      <c r="I34" s="89"/>
      <c r="J34" s="12"/>
    </row>
    <row r="35" spans="1:10" ht="14.25" customHeight="1">
      <c r="A35" s="90" t="s">
        <v>251</v>
      </c>
      <c r="B35" s="91"/>
      <c r="C35" s="92"/>
      <c r="D35" s="90" t="s">
        <v>251</v>
      </c>
      <c r="E35" s="91"/>
      <c r="F35" s="92"/>
      <c r="G35" s="90" t="s">
        <v>251</v>
      </c>
      <c r="H35" s="91"/>
      <c r="I35" s="92"/>
      <c r="J35" s="12"/>
    </row>
    <row r="36" spans="1:9" ht="11.25" customHeight="1">
      <c r="A36" s="31" t="s">
        <v>53</v>
      </c>
      <c r="B36" s="33"/>
      <c r="C36" s="33"/>
      <c r="D36" s="33"/>
      <c r="E36" s="33"/>
      <c r="F36" s="33"/>
      <c r="G36" s="33"/>
      <c r="H36" s="33"/>
      <c r="I36" s="33"/>
    </row>
    <row r="37" spans="1:9" ht="12.75">
      <c r="A37" s="67" t="s">
        <v>54</v>
      </c>
      <c r="B37" s="59"/>
      <c r="C37" s="59"/>
      <c r="D37" s="59"/>
      <c r="E37" s="59"/>
      <c r="F37" s="59"/>
      <c r="G37" s="59"/>
      <c r="H37" s="59"/>
      <c r="I37" s="59"/>
    </row>
  </sheetData>
  <sheetProtection password="8778" sheet="1" objects="1" scenarios="1"/>
  <mergeCells count="83"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  <mergeCell ref="A31:C31"/>
    <mergeCell ref="D31:F31"/>
    <mergeCell ref="G31:I31"/>
    <mergeCell ref="A32:C32"/>
    <mergeCell ref="D32:F32"/>
    <mergeCell ref="G32:I32"/>
    <mergeCell ref="A28:B28"/>
    <mergeCell ref="D28:E28"/>
    <mergeCell ref="G28:H28"/>
    <mergeCell ref="A29:B29"/>
    <mergeCell ref="D29:E29"/>
    <mergeCell ref="G29:H29"/>
    <mergeCell ref="D23:E23"/>
    <mergeCell ref="G23:H23"/>
    <mergeCell ref="G24:H24"/>
    <mergeCell ref="G25:H25"/>
    <mergeCell ref="A27:B27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0"/>
  <sheetViews>
    <sheetView workbookViewId="0" topLeftCell="A1">
      <pane ySplit="10" topLeftCell="A11" activePane="bottomLeft" state="frozen"/>
      <selection pane="bottomLeft" activeCell="C28" sqref="C28"/>
    </sheetView>
  </sheetViews>
  <sheetFormatPr defaultColWidth="11.57421875" defaultRowHeight="12.75"/>
  <cols>
    <col min="1" max="2" width="7.140625" style="0" customWidth="1"/>
    <col min="3" max="3" width="57.140625" style="0" customWidth="1"/>
    <col min="4" max="4" width="16.00390625" style="0" customWidth="1"/>
    <col min="5" max="5" width="22.140625" style="0" customWidth="1"/>
    <col min="6" max="6" width="21.00390625" style="0" customWidth="1"/>
    <col min="7" max="7" width="20.8515625" style="0" customWidth="1"/>
    <col min="8" max="9" width="11.57421875" style="0" hidden="1" customWidth="1"/>
  </cols>
  <sheetData>
    <row r="1" spans="1:7" ht="73" customHeight="1">
      <c r="A1" s="93" t="s">
        <v>232</v>
      </c>
      <c r="B1" s="55"/>
      <c r="C1" s="55"/>
      <c r="D1" s="55"/>
      <c r="E1" s="55"/>
      <c r="F1" s="55"/>
      <c r="G1" s="55"/>
    </row>
    <row r="2" spans="1:8" ht="12.75">
      <c r="A2" s="56" t="s">
        <v>1</v>
      </c>
      <c r="B2" s="57"/>
      <c r="C2" s="60" t="str">
        <f>'Stavební rozpočet'!C2</f>
        <v>Veřejné osvětlení Radkova Lhota</v>
      </c>
      <c r="D2" s="94" t="s">
        <v>168</v>
      </c>
      <c r="E2" s="94" t="s">
        <v>172</v>
      </c>
      <c r="F2" s="63" t="s">
        <v>185</v>
      </c>
      <c r="G2" s="95" t="str">
        <f>'Stavební rozpočet'!J2</f>
        <v>Obec Radkova Lhota</v>
      </c>
      <c r="H2" s="11"/>
    </row>
    <row r="3" spans="1:8" ht="12.75">
      <c r="A3" s="58"/>
      <c r="B3" s="59"/>
      <c r="C3" s="62"/>
      <c r="D3" s="59"/>
      <c r="E3" s="59"/>
      <c r="F3" s="59"/>
      <c r="G3" s="65"/>
      <c r="H3" s="11"/>
    </row>
    <row r="4" spans="1:8" ht="12.75">
      <c r="A4" s="66" t="s">
        <v>2</v>
      </c>
      <c r="B4" s="59"/>
      <c r="C4" s="67" t="str">
        <f>'Stavební rozpočet'!C4</f>
        <v>veřejné osvětlení</v>
      </c>
      <c r="D4" s="69" t="s">
        <v>169</v>
      </c>
      <c r="E4" s="69" t="s">
        <v>6</v>
      </c>
      <c r="F4" s="67" t="s">
        <v>186</v>
      </c>
      <c r="G4" s="72" t="str">
        <f>'Stavební rozpočet'!J4</f>
        <v>Ing.Jana Šarniková</v>
      </c>
      <c r="H4" s="11"/>
    </row>
    <row r="5" spans="1:8" ht="12.75">
      <c r="A5" s="58"/>
      <c r="B5" s="59"/>
      <c r="C5" s="59"/>
      <c r="D5" s="59"/>
      <c r="E5" s="59"/>
      <c r="F5" s="59"/>
      <c r="G5" s="65"/>
      <c r="H5" s="11"/>
    </row>
    <row r="6" spans="1:8" ht="12.75">
      <c r="A6" s="66" t="s">
        <v>3</v>
      </c>
      <c r="B6" s="59"/>
      <c r="C6" s="67" t="str">
        <f>'Stavební rozpočet'!C6</f>
        <v>Radkova Lhota</v>
      </c>
      <c r="D6" s="69" t="s">
        <v>170</v>
      </c>
      <c r="E6" s="69" t="s">
        <v>173</v>
      </c>
      <c r="F6" s="67" t="s">
        <v>187</v>
      </c>
      <c r="G6" s="72" t="str">
        <f>'Stavební rozpočet'!J6</f>
        <v>Ing.Jana Šarniková</v>
      </c>
      <c r="H6" s="11"/>
    </row>
    <row r="7" spans="1:8" ht="12.75">
      <c r="A7" s="58"/>
      <c r="B7" s="59"/>
      <c r="C7" s="59"/>
      <c r="D7" s="59"/>
      <c r="E7" s="59"/>
      <c r="F7" s="59"/>
      <c r="G7" s="65"/>
      <c r="H7" s="11"/>
    </row>
    <row r="8" spans="1:8" ht="12.75">
      <c r="A8" s="66" t="s">
        <v>188</v>
      </c>
      <c r="B8" s="59"/>
      <c r="C8" s="67" t="str">
        <f>'Stavební rozpočet'!J8</f>
        <v>Ing.Jana Šarniková</v>
      </c>
      <c r="D8" s="69" t="s">
        <v>171</v>
      </c>
      <c r="E8" s="69" t="s">
        <v>174</v>
      </c>
      <c r="F8" s="69" t="s">
        <v>171</v>
      </c>
      <c r="G8" s="72" t="str">
        <f>'Stavební rozpočet'!G8</f>
        <v>06.03.2022</v>
      </c>
      <c r="H8" s="11"/>
    </row>
    <row r="9" spans="1:8" ht="14" thickBot="1">
      <c r="A9" s="58"/>
      <c r="B9" s="59"/>
      <c r="C9" s="59"/>
      <c r="D9" s="59"/>
      <c r="E9" s="59"/>
      <c r="F9" s="59"/>
      <c r="G9" s="65"/>
      <c r="H9" s="11"/>
    </row>
    <row r="10" spans="1:8" ht="12.75">
      <c r="A10" s="124" t="s">
        <v>233</v>
      </c>
      <c r="B10" s="1" t="s">
        <v>55</v>
      </c>
      <c r="C10" s="4" t="s">
        <v>112</v>
      </c>
      <c r="D10" s="125"/>
      <c r="E10" s="6" t="s">
        <v>234</v>
      </c>
      <c r="F10" s="6" t="s">
        <v>235</v>
      </c>
      <c r="G10" s="9" t="s">
        <v>236</v>
      </c>
      <c r="H10" s="44"/>
    </row>
    <row r="11" spans="1:9" ht="12.75">
      <c r="A11" s="50"/>
      <c r="B11" s="50" t="s">
        <v>20</v>
      </c>
      <c r="C11" s="69" t="s">
        <v>114</v>
      </c>
      <c r="D11" s="59"/>
      <c r="E11" s="14">
        <f>'Stavební rozpočet'!J12</f>
        <v>0</v>
      </c>
      <c r="F11" s="14">
        <f>'Stavební rozpočet'!K12</f>
        <v>0</v>
      </c>
      <c r="G11" s="14">
        <f>'Stavební rozpočet'!L12</f>
        <v>0</v>
      </c>
      <c r="H11" s="14" t="s">
        <v>237</v>
      </c>
      <c r="I11" s="14">
        <f aca="true" t="shared" si="0" ref="I11:I19">IF(H11="F",0,G11)</f>
        <v>0</v>
      </c>
    </row>
    <row r="12" spans="1:9" ht="12.75">
      <c r="A12" s="50"/>
      <c r="B12" s="50" t="s">
        <v>58</v>
      </c>
      <c r="C12" s="69" t="s">
        <v>117</v>
      </c>
      <c r="D12" s="59"/>
      <c r="E12" s="14">
        <f>'Stavební rozpočet'!J15</f>
        <v>0</v>
      </c>
      <c r="F12" s="14">
        <f>'Stavební rozpočet'!K15</f>
        <v>0</v>
      </c>
      <c r="G12" s="14">
        <f>'Stavební rozpočet'!L15</f>
        <v>0</v>
      </c>
      <c r="H12" s="14" t="s">
        <v>237</v>
      </c>
      <c r="I12" s="14">
        <f t="shared" si="0"/>
        <v>0</v>
      </c>
    </row>
    <row r="13" spans="1:9" ht="12.75">
      <c r="A13" s="50"/>
      <c r="B13" s="50" t="s">
        <v>63</v>
      </c>
      <c r="C13" s="69" t="s">
        <v>122</v>
      </c>
      <c r="D13" s="59"/>
      <c r="E13" s="14">
        <f>'Stavební rozpočet'!J20</f>
        <v>0</v>
      </c>
      <c r="F13" s="14">
        <f>'Stavební rozpočet'!K20</f>
        <v>0</v>
      </c>
      <c r="G13" s="14">
        <f>'Stavební rozpočet'!L20</f>
        <v>0</v>
      </c>
      <c r="H13" s="14" t="s">
        <v>237</v>
      </c>
      <c r="I13" s="14">
        <f t="shared" si="0"/>
        <v>0</v>
      </c>
    </row>
    <row r="14" spans="1:9" ht="12.75">
      <c r="A14" s="50"/>
      <c r="B14" s="50" t="s">
        <v>66</v>
      </c>
      <c r="C14" s="69" t="s">
        <v>125</v>
      </c>
      <c r="D14" s="59"/>
      <c r="E14" s="14">
        <f>'Stavební rozpočet'!J23</f>
        <v>0</v>
      </c>
      <c r="F14" s="14">
        <f>'Stavební rozpočet'!K23</f>
        <v>0</v>
      </c>
      <c r="G14" s="14">
        <f>'Stavební rozpočet'!L23</f>
        <v>0</v>
      </c>
      <c r="H14" s="14" t="s">
        <v>237</v>
      </c>
      <c r="I14" s="14">
        <f t="shared" si="0"/>
        <v>0</v>
      </c>
    </row>
    <row r="15" spans="1:9" ht="12.75">
      <c r="A15" s="50"/>
      <c r="B15" s="50" t="s">
        <v>68</v>
      </c>
      <c r="C15" s="69" t="s">
        <v>127</v>
      </c>
      <c r="D15" s="59"/>
      <c r="E15" s="14">
        <f>'Stavební rozpočet'!J25</f>
        <v>0</v>
      </c>
      <c r="F15" s="14">
        <f>'Stavební rozpočet'!K25</f>
        <v>0</v>
      </c>
      <c r="G15" s="14">
        <f>'Stavební rozpočet'!L25</f>
        <v>0</v>
      </c>
      <c r="H15" s="14" t="s">
        <v>237</v>
      </c>
      <c r="I15" s="14">
        <f t="shared" si="0"/>
        <v>0</v>
      </c>
    </row>
    <row r="16" spans="1:9" ht="12.75">
      <c r="A16" s="50"/>
      <c r="B16" s="50" t="s">
        <v>86</v>
      </c>
      <c r="C16" s="69" t="s">
        <v>145</v>
      </c>
      <c r="D16" s="59"/>
      <c r="E16" s="14">
        <f>'Stavební rozpočet'!J43</f>
        <v>0</v>
      </c>
      <c r="F16" s="14">
        <f>'Stavební rozpočet'!K43</f>
        <v>0</v>
      </c>
      <c r="G16" s="14">
        <f>'Stavební rozpočet'!L43</f>
        <v>0</v>
      </c>
      <c r="H16" s="14" t="s">
        <v>237</v>
      </c>
      <c r="I16" s="14">
        <f t="shared" si="0"/>
        <v>0</v>
      </c>
    </row>
    <row r="17" spans="1:9" ht="12.75">
      <c r="A17" s="50"/>
      <c r="B17" s="50"/>
      <c r="C17" s="69" t="s">
        <v>162</v>
      </c>
      <c r="D17" s="59"/>
      <c r="E17" s="14">
        <f>'Stavební rozpočet'!J60</f>
        <v>0</v>
      </c>
      <c r="F17" s="14">
        <f>'Stavební rozpočet'!K60</f>
        <v>0</v>
      </c>
      <c r="G17" s="14">
        <f>'Stavební rozpočet'!L60</f>
        <v>0</v>
      </c>
      <c r="H17" s="14" t="s">
        <v>237</v>
      </c>
      <c r="I17" s="14">
        <f t="shared" si="0"/>
        <v>0</v>
      </c>
    </row>
    <row r="18" spans="1:9" ht="12.75">
      <c r="A18" s="50"/>
      <c r="B18" s="50" t="s">
        <v>107</v>
      </c>
      <c r="C18" s="69" t="s">
        <v>167</v>
      </c>
      <c r="D18" s="59"/>
      <c r="E18" s="14">
        <f>'Stavební rozpočet'!J66</f>
        <v>0</v>
      </c>
      <c r="F18" s="14">
        <f>'Stavební rozpočet'!K66</f>
        <v>0</v>
      </c>
      <c r="G18" s="14">
        <f>'Stavební rozpočet'!L66</f>
        <v>0</v>
      </c>
      <c r="H18" s="14" t="s">
        <v>237</v>
      </c>
      <c r="I18" s="14">
        <f t="shared" si="0"/>
        <v>0</v>
      </c>
    </row>
    <row r="19" spans="1:9" ht="12.75">
      <c r="A19" s="50"/>
      <c r="B19" s="50" t="s">
        <v>108</v>
      </c>
      <c r="C19" s="69" t="s">
        <v>164</v>
      </c>
      <c r="D19" s="59"/>
      <c r="E19" s="14">
        <f>'Stavební rozpočet'!J66</f>
        <v>0</v>
      </c>
      <c r="F19" s="14">
        <f>'Stavební rozpočet'!K66</f>
        <v>0</v>
      </c>
      <c r="G19" s="14">
        <f>'Stavební rozpočet'!L66</f>
        <v>0</v>
      </c>
      <c r="H19" s="14" t="s">
        <v>237</v>
      </c>
      <c r="I19" s="14">
        <f t="shared" si="0"/>
        <v>0</v>
      </c>
    </row>
    <row r="20" spans="6:7" ht="12.75">
      <c r="F20" s="20" t="s">
        <v>195</v>
      </c>
      <c r="G20" s="21">
        <f>SUM(I11:I19)</f>
        <v>0</v>
      </c>
    </row>
  </sheetData>
  <sheetProtection algorithmName="SHA-512" hashValue="GTxXxkh1eVSf6719Oiu/rhiloeSqa3Y0ZVrZdnBzgBIB7yK9wjJksz/8lUEqXkqiDv/nPYtwpUo3fJtMreVEJw==" saltValue="+6YvSrIgV+N38vdagoaGeQ==" spinCount="100000" sheet="1" objects="1" scenarios="1"/>
  <mergeCells count="34">
    <mergeCell ref="G8:G9"/>
    <mergeCell ref="C17:D17"/>
    <mergeCell ref="C18:D18"/>
    <mergeCell ref="C19:D19"/>
    <mergeCell ref="C11:D11"/>
    <mergeCell ref="C12:D12"/>
    <mergeCell ref="C13:D13"/>
    <mergeCell ref="C14:D14"/>
    <mergeCell ref="C15:D15"/>
    <mergeCell ref="C16:D16"/>
    <mergeCell ref="A8:B9"/>
    <mergeCell ref="C8:C9"/>
    <mergeCell ref="D8:D9"/>
    <mergeCell ref="E8:E9"/>
    <mergeCell ref="F8:F9"/>
    <mergeCell ref="G4:G5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A1:G1"/>
    <mergeCell ref="A2:B3"/>
    <mergeCell ref="C2:C3"/>
    <mergeCell ref="D2:D3"/>
    <mergeCell ref="E2:E3"/>
    <mergeCell ref="F2:F3"/>
    <mergeCell ref="G2:G3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L69"/>
  <sheetViews>
    <sheetView workbookViewId="0" topLeftCell="A1">
      <pane ySplit="11" topLeftCell="A12" activePane="bottomLeft" state="frozen"/>
      <selection pane="bottomLeft" activeCell="J25" sqref="J25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1.421875" style="0" customWidth="1"/>
    <col min="4" max="4" width="58.7109375" style="0" customWidth="1"/>
    <col min="7" max="7" width="4.28125" style="0" customWidth="1"/>
    <col min="8" max="8" width="12.8515625" style="0" customWidth="1"/>
    <col min="9" max="9" width="12.00390625" style="0" customWidth="1"/>
    <col min="10" max="12" width="14.28125" style="0" customWidth="1"/>
    <col min="13" max="13" width="11.7109375" style="0" customWidth="1"/>
    <col min="25" max="64" width="12.140625" style="0" hidden="1" customWidth="1"/>
  </cols>
  <sheetData>
    <row r="1" spans="1:13" ht="73" customHeight="1">
      <c r="A1" s="93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4" ht="12.75">
      <c r="A2" s="56" t="s">
        <v>1</v>
      </c>
      <c r="B2" s="57"/>
      <c r="C2" s="60" t="s">
        <v>109</v>
      </c>
      <c r="D2" s="61"/>
      <c r="E2" s="94" t="s">
        <v>168</v>
      </c>
      <c r="F2" s="57"/>
      <c r="G2" s="94" t="s">
        <v>172</v>
      </c>
      <c r="H2" s="57"/>
      <c r="I2" s="63" t="s">
        <v>185</v>
      </c>
      <c r="J2" s="63" t="s">
        <v>191</v>
      </c>
      <c r="K2" s="57"/>
      <c r="L2" s="57"/>
      <c r="M2" s="99"/>
      <c r="N2" s="11"/>
    </row>
    <row r="3" spans="1:14" ht="12.75">
      <c r="A3" s="58"/>
      <c r="B3" s="59"/>
      <c r="C3" s="62"/>
      <c r="D3" s="62"/>
      <c r="E3" s="59"/>
      <c r="F3" s="59"/>
      <c r="G3" s="59"/>
      <c r="H3" s="59"/>
      <c r="I3" s="59"/>
      <c r="J3" s="59"/>
      <c r="K3" s="59"/>
      <c r="L3" s="59"/>
      <c r="M3" s="65"/>
      <c r="N3" s="11"/>
    </row>
    <row r="4" spans="1:14" ht="12.75">
      <c r="A4" s="66" t="s">
        <v>2</v>
      </c>
      <c r="B4" s="59"/>
      <c r="C4" s="67" t="s">
        <v>110</v>
      </c>
      <c r="D4" s="59"/>
      <c r="E4" s="69" t="s">
        <v>169</v>
      </c>
      <c r="F4" s="59"/>
      <c r="G4" s="69" t="s">
        <v>6</v>
      </c>
      <c r="H4" s="59"/>
      <c r="I4" s="67" t="s">
        <v>186</v>
      </c>
      <c r="J4" s="67" t="s">
        <v>192</v>
      </c>
      <c r="K4" s="59"/>
      <c r="L4" s="59"/>
      <c r="M4" s="65"/>
      <c r="N4" s="11"/>
    </row>
    <row r="5" spans="1:14" ht="12.7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65"/>
      <c r="N5" s="11"/>
    </row>
    <row r="6" spans="1:14" ht="12.75">
      <c r="A6" s="66" t="s">
        <v>3</v>
      </c>
      <c r="B6" s="59"/>
      <c r="C6" s="67" t="s">
        <v>111</v>
      </c>
      <c r="D6" s="59"/>
      <c r="E6" s="69" t="s">
        <v>170</v>
      </c>
      <c r="F6" s="59"/>
      <c r="G6" s="69" t="s">
        <v>173</v>
      </c>
      <c r="H6" s="59"/>
      <c r="I6" s="67" t="s">
        <v>187</v>
      </c>
      <c r="J6" s="67" t="s">
        <v>192</v>
      </c>
      <c r="K6" s="59"/>
      <c r="L6" s="59"/>
      <c r="M6" s="65"/>
      <c r="N6" s="11"/>
    </row>
    <row r="7" spans="1:14" ht="12.7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65"/>
      <c r="N7" s="11"/>
    </row>
    <row r="8" spans="1:14" ht="12.75">
      <c r="A8" s="66" t="s">
        <v>4</v>
      </c>
      <c r="B8" s="59"/>
      <c r="C8" s="67">
        <v>82875</v>
      </c>
      <c r="D8" s="59"/>
      <c r="E8" s="69" t="s">
        <v>171</v>
      </c>
      <c r="F8" s="59"/>
      <c r="G8" s="69" t="s">
        <v>174</v>
      </c>
      <c r="H8" s="59"/>
      <c r="I8" s="67" t="s">
        <v>188</v>
      </c>
      <c r="J8" s="67" t="s">
        <v>192</v>
      </c>
      <c r="K8" s="59"/>
      <c r="L8" s="59"/>
      <c r="M8" s="65"/>
      <c r="N8" s="11"/>
    </row>
    <row r="9" spans="1:14" ht="12.7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8"/>
      <c r="N9" s="11"/>
    </row>
    <row r="10" spans="1:64" ht="12.75">
      <c r="A10" s="1" t="s">
        <v>5</v>
      </c>
      <c r="B10" s="4" t="s">
        <v>55</v>
      </c>
      <c r="C10" s="100" t="s">
        <v>112</v>
      </c>
      <c r="D10" s="101"/>
      <c r="E10" s="101"/>
      <c r="F10" s="102"/>
      <c r="G10" s="4" t="s">
        <v>175</v>
      </c>
      <c r="H10" s="6" t="s">
        <v>184</v>
      </c>
      <c r="I10" s="9" t="s">
        <v>189</v>
      </c>
      <c r="J10" s="103" t="s">
        <v>193</v>
      </c>
      <c r="K10" s="104"/>
      <c r="L10" s="105"/>
      <c r="M10" s="10" t="s">
        <v>198</v>
      </c>
      <c r="N10" s="12"/>
      <c r="BK10" s="13" t="s">
        <v>228</v>
      </c>
      <c r="BL10" s="18" t="s">
        <v>231</v>
      </c>
    </row>
    <row r="11" spans="1:62" ht="12.75">
      <c r="A11" s="114" t="s">
        <v>6</v>
      </c>
      <c r="B11" s="115" t="s">
        <v>6</v>
      </c>
      <c r="C11" s="116" t="s">
        <v>113</v>
      </c>
      <c r="D11" s="62"/>
      <c r="E11" s="62"/>
      <c r="F11" s="117"/>
      <c r="G11" s="115" t="s">
        <v>6</v>
      </c>
      <c r="H11" s="115" t="s">
        <v>6</v>
      </c>
      <c r="I11" s="118" t="s">
        <v>190</v>
      </c>
      <c r="J11" s="119" t="s">
        <v>194</v>
      </c>
      <c r="K11" s="120" t="s">
        <v>196</v>
      </c>
      <c r="L11" s="121" t="s">
        <v>197</v>
      </c>
      <c r="M11" s="122" t="s">
        <v>199</v>
      </c>
      <c r="N11" s="12"/>
      <c r="Z11" s="13" t="s">
        <v>203</v>
      </c>
      <c r="AA11" s="13" t="s">
        <v>204</v>
      </c>
      <c r="AB11" s="13" t="s">
        <v>205</v>
      </c>
      <c r="AC11" s="13" t="s">
        <v>206</v>
      </c>
      <c r="AD11" s="13" t="s">
        <v>207</v>
      </c>
      <c r="AE11" s="13" t="s">
        <v>208</v>
      </c>
      <c r="AF11" s="13" t="s">
        <v>209</v>
      </c>
      <c r="AG11" s="13" t="s">
        <v>210</v>
      </c>
      <c r="AH11" s="13" t="s">
        <v>211</v>
      </c>
      <c r="BH11" s="13" t="s">
        <v>225</v>
      </c>
      <c r="BI11" s="13" t="s">
        <v>226</v>
      </c>
      <c r="BJ11" s="13" t="s">
        <v>227</v>
      </c>
    </row>
    <row r="12" spans="1:47" ht="12.75">
      <c r="A12" s="5"/>
      <c r="B12" s="52" t="s">
        <v>20</v>
      </c>
      <c r="C12" s="108" t="s">
        <v>114</v>
      </c>
      <c r="D12" s="109"/>
      <c r="E12" s="109"/>
      <c r="F12" s="109"/>
      <c r="G12" s="5" t="s">
        <v>6</v>
      </c>
      <c r="H12" s="5" t="s">
        <v>6</v>
      </c>
      <c r="I12" s="5" t="s">
        <v>6</v>
      </c>
      <c r="J12" s="19">
        <f>SUM(J13:J14)</f>
        <v>0</v>
      </c>
      <c r="K12" s="19">
        <f>SUM(K13:K14)</f>
        <v>0</v>
      </c>
      <c r="L12" s="19">
        <f>SUM(L13:L14)</f>
        <v>0</v>
      </c>
      <c r="M12" s="13"/>
      <c r="N12" s="44"/>
      <c r="AI12" s="13"/>
      <c r="AS12" s="19">
        <f>SUM(AJ13:AJ14)</f>
        <v>0</v>
      </c>
      <c r="AT12" s="19">
        <f>SUM(AK13:AK14)</f>
        <v>0</v>
      </c>
      <c r="AU12" s="19">
        <f>SUM(AL13:AL14)</f>
        <v>0</v>
      </c>
    </row>
    <row r="13" spans="1:64" ht="12.75">
      <c r="A13" s="53" t="s">
        <v>7</v>
      </c>
      <c r="B13" s="53" t="s">
        <v>56</v>
      </c>
      <c r="C13" s="106" t="s">
        <v>115</v>
      </c>
      <c r="D13" s="107"/>
      <c r="E13" s="107"/>
      <c r="F13" s="107"/>
      <c r="G13" s="53" t="s">
        <v>176</v>
      </c>
      <c r="H13" s="7">
        <v>30</v>
      </c>
      <c r="I13" s="48">
        <v>0</v>
      </c>
      <c r="J13" s="7">
        <f>H13*AO13</f>
        <v>0</v>
      </c>
      <c r="K13" s="7">
        <f>H13*AP13</f>
        <v>0</v>
      </c>
      <c r="L13" s="7">
        <f>H13*I13</f>
        <v>0</v>
      </c>
      <c r="M13" s="15" t="s">
        <v>200</v>
      </c>
      <c r="N13" s="44"/>
      <c r="Z13" s="14">
        <f>IF(AQ13="5",BJ13,0)</f>
        <v>0</v>
      </c>
      <c r="AB13" s="14">
        <f>IF(AQ13="1",BH13,0)</f>
        <v>0</v>
      </c>
      <c r="AC13" s="14">
        <f>IF(AQ13="1",BI13,0)</f>
        <v>0</v>
      </c>
      <c r="AD13" s="14">
        <f>IF(AQ13="7",BH13,0)</f>
        <v>0</v>
      </c>
      <c r="AE13" s="14">
        <f>IF(AQ13="7",BI13,0)</f>
        <v>0</v>
      </c>
      <c r="AF13" s="14">
        <f>IF(AQ13="2",BH13,0)</f>
        <v>0</v>
      </c>
      <c r="AG13" s="14">
        <f>IF(AQ13="2",BI13,0)</f>
        <v>0</v>
      </c>
      <c r="AH13" s="14">
        <f>IF(AQ13="0",BJ13,0)</f>
        <v>0</v>
      </c>
      <c r="AI13" s="13"/>
      <c r="AJ13" s="7">
        <f>IF(AN13=0,L13,0)</f>
        <v>0</v>
      </c>
      <c r="AK13" s="7">
        <f>IF(AN13=15,L13,0)</f>
        <v>0</v>
      </c>
      <c r="AL13" s="7">
        <f>IF(AN13=21,L13,0)</f>
        <v>0</v>
      </c>
      <c r="AN13" s="14">
        <v>21</v>
      </c>
      <c r="AO13" s="14">
        <f>I13*0.00586978636826043</f>
        <v>0</v>
      </c>
      <c r="AP13" s="14">
        <f>I13*(1-0.00586978636826043)</f>
        <v>0</v>
      </c>
      <c r="AQ13" s="15" t="s">
        <v>7</v>
      </c>
      <c r="AV13" s="14">
        <f>AW13+AX13</f>
        <v>0</v>
      </c>
      <c r="AW13" s="14">
        <f>H13*AO13</f>
        <v>0</v>
      </c>
      <c r="AX13" s="14">
        <f>H13*AP13</f>
        <v>0</v>
      </c>
      <c r="AY13" s="17" t="s">
        <v>213</v>
      </c>
      <c r="AZ13" s="17" t="s">
        <v>220</v>
      </c>
      <c r="BA13" s="13" t="s">
        <v>224</v>
      </c>
      <c r="BC13" s="14">
        <f>AW13+AX13</f>
        <v>0</v>
      </c>
      <c r="BD13" s="14">
        <f>I13/(100-BE13)*100</f>
        <v>0</v>
      </c>
      <c r="BE13" s="14">
        <v>0</v>
      </c>
      <c r="BF13" s="14">
        <f>13</f>
        <v>13</v>
      </c>
      <c r="BH13" s="7">
        <f>H13*AO13</f>
        <v>0</v>
      </c>
      <c r="BI13" s="7">
        <f>H13*AP13</f>
        <v>0</v>
      </c>
      <c r="BJ13" s="7">
        <f>H13*I13</f>
        <v>0</v>
      </c>
      <c r="BK13" s="7" t="s">
        <v>229</v>
      </c>
      <c r="BL13" s="14">
        <v>14</v>
      </c>
    </row>
    <row r="14" spans="1:64" ht="12.75">
      <c r="A14" s="53" t="s">
        <v>8</v>
      </c>
      <c r="B14" s="53" t="s">
        <v>57</v>
      </c>
      <c r="C14" s="106" t="s">
        <v>116</v>
      </c>
      <c r="D14" s="107"/>
      <c r="E14" s="107"/>
      <c r="F14" s="107"/>
      <c r="G14" s="53" t="s">
        <v>177</v>
      </c>
      <c r="H14" s="7">
        <v>13.5</v>
      </c>
      <c r="I14" s="48">
        <v>0</v>
      </c>
      <c r="J14" s="7">
        <f>H14*AO14</f>
        <v>0</v>
      </c>
      <c r="K14" s="7">
        <f>H14*AP14</f>
        <v>0</v>
      </c>
      <c r="L14" s="7">
        <f>H14*I14</f>
        <v>0</v>
      </c>
      <c r="M14" s="15" t="s">
        <v>200</v>
      </c>
      <c r="N14" s="44"/>
      <c r="Z14" s="14">
        <f>IF(AQ14="5",BJ14,0)</f>
        <v>0</v>
      </c>
      <c r="AB14" s="14">
        <f>IF(AQ14="1",BH14,0)</f>
        <v>0</v>
      </c>
      <c r="AC14" s="14">
        <f>IF(AQ14="1",BI14,0)</f>
        <v>0</v>
      </c>
      <c r="AD14" s="14">
        <f>IF(AQ14="7",BH14,0)</f>
        <v>0</v>
      </c>
      <c r="AE14" s="14">
        <f>IF(AQ14="7",BI14,0)</f>
        <v>0</v>
      </c>
      <c r="AF14" s="14">
        <f>IF(AQ14="2",BH14,0)</f>
        <v>0</v>
      </c>
      <c r="AG14" s="14">
        <f>IF(AQ14="2",BI14,0)</f>
        <v>0</v>
      </c>
      <c r="AH14" s="14">
        <f>IF(AQ14="0",BJ14,0)</f>
        <v>0</v>
      </c>
      <c r="AI14" s="13"/>
      <c r="AJ14" s="7">
        <f>IF(AN14=0,L14,0)</f>
        <v>0</v>
      </c>
      <c r="AK14" s="7">
        <f>IF(AN14=15,L14,0)</f>
        <v>0</v>
      </c>
      <c r="AL14" s="7">
        <f>IF(AN14=21,L14,0)</f>
        <v>0</v>
      </c>
      <c r="AN14" s="14">
        <v>21</v>
      </c>
      <c r="AO14" s="14">
        <f>I14*0</f>
        <v>0</v>
      </c>
      <c r="AP14" s="14">
        <f>I14*(1-0)</f>
        <v>0</v>
      </c>
      <c r="AQ14" s="15" t="s">
        <v>8</v>
      </c>
      <c r="AV14" s="14">
        <f>AW14+AX14</f>
        <v>0</v>
      </c>
      <c r="AW14" s="14">
        <f>H14*AO14</f>
        <v>0</v>
      </c>
      <c r="AX14" s="14">
        <f>H14*AP14</f>
        <v>0</v>
      </c>
      <c r="AY14" s="17" t="s">
        <v>213</v>
      </c>
      <c r="AZ14" s="17" t="s">
        <v>220</v>
      </c>
      <c r="BA14" s="13" t="s">
        <v>224</v>
      </c>
      <c r="BC14" s="14">
        <f>AW14+AX14</f>
        <v>0</v>
      </c>
      <c r="BD14" s="14">
        <f>I14/(100-BE14)*100</f>
        <v>0</v>
      </c>
      <c r="BE14" s="14">
        <v>0</v>
      </c>
      <c r="BF14" s="14">
        <f>14</f>
        <v>14</v>
      </c>
      <c r="BH14" s="7">
        <f>H14*AO14</f>
        <v>0</v>
      </c>
      <c r="BI14" s="7">
        <f>H14*AP14</f>
        <v>0</v>
      </c>
      <c r="BJ14" s="7">
        <f>H14*I14</f>
        <v>0</v>
      </c>
      <c r="BK14" s="7" t="s">
        <v>229</v>
      </c>
      <c r="BL14" s="14">
        <v>14</v>
      </c>
    </row>
    <row r="15" spans="1:47" ht="12.75">
      <c r="A15" s="5"/>
      <c r="B15" s="52" t="s">
        <v>58</v>
      </c>
      <c r="C15" s="108" t="s">
        <v>117</v>
      </c>
      <c r="D15" s="109"/>
      <c r="E15" s="109"/>
      <c r="F15" s="109"/>
      <c r="G15" s="5" t="s">
        <v>6</v>
      </c>
      <c r="H15" s="5" t="s">
        <v>6</v>
      </c>
      <c r="I15" s="5" t="s">
        <v>6</v>
      </c>
      <c r="J15" s="19">
        <f>SUM(J16:J19)</f>
        <v>0</v>
      </c>
      <c r="K15" s="19">
        <f>SUM(K16:K19)</f>
        <v>0</v>
      </c>
      <c r="L15" s="19">
        <f>SUM(L16:L19)</f>
        <v>0</v>
      </c>
      <c r="M15" s="13"/>
      <c r="N15" s="44"/>
      <c r="AI15" s="13"/>
      <c r="AS15" s="19">
        <f>SUM(AJ16:AJ19)</f>
        <v>0</v>
      </c>
      <c r="AT15" s="19">
        <f>SUM(AK16:AK19)</f>
        <v>0</v>
      </c>
      <c r="AU15" s="19">
        <f>SUM(AL16:AL19)</f>
        <v>0</v>
      </c>
    </row>
    <row r="16" spans="1:64" ht="12.75">
      <c r="A16" s="53" t="s">
        <v>9</v>
      </c>
      <c r="B16" s="53" t="s">
        <v>59</v>
      </c>
      <c r="C16" s="106" t="s">
        <v>118</v>
      </c>
      <c r="D16" s="107"/>
      <c r="E16" s="107"/>
      <c r="F16" s="107"/>
      <c r="G16" s="53" t="s">
        <v>178</v>
      </c>
      <c r="H16" s="7">
        <v>55</v>
      </c>
      <c r="I16" s="48">
        <v>0</v>
      </c>
      <c r="J16" s="7">
        <f>H16*AO16</f>
        <v>0</v>
      </c>
      <c r="K16" s="7">
        <f>H16*AP16</f>
        <v>0</v>
      </c>
      <c r="L16" s="7">
        <f>H16*I16</f>
        <v>0</v>
      </c>
      <c r="M16" s="15"/>
      <c r="N16" s="44"/>
      <c r="Z16" s="14">
        <f>IF(AQ16="5",BJ16,0)</f>
        <v>0</v>
      </c>
      <c r="AB16" s="14">
        <f>IF(AQ16="1",BH16,0)</f>
        <v>0</v>
      </c>
      <c r="AC16" s="14">
        <f>IF(AQ16="1",BI16,0)</f>
        <v>0</v>
      </c>
      <c r="AD16" s="14">
        <f>IF(AQ16="7",BH16,0)</f>
        <v>0</v>
      </c>
      <c r="AE16" s="14">
        <f>IF(AQ16="7",BI16,0)</f>
        <v>0</v>
      </c>
      <c r="AF16" s="14">
        <f>IF(AQ16="2",BH16,0)</f>
        <v>0</v>
      </c>
      <c r="AG16" s="14">
        <f>IF(AQ16="2",BI16,0)</f>
        <v>0</v>
      </c>
      <c r="AH16" s="14">
        <f>IF(AQ16="0",BJ16,0)</f>
        <v>0</v>
      </c>
      <c r="AI16" s="13"/>
      <c r="AJ16" s="7">
        <f>IF(AN16=0,L16,0)</f>
        <v>0</v>
      </c>
      <c r="AK16" s="7">
        <f>IF(AN16=15,L16,0)</f>
        <v>0</v>
      </c>
      <c r="AL16" s="7">
        <f>IF(AN16=21,L16,0)</f>
        <v>0</v>
      </c>
      <c r="AN16" s="14">
        <v>21</v>
      </c>
      <c r="AO16" s="14">
        <f>I16*0</f>
        <v>0</v>
      </c>
      <c r="AP16" s="14">
        <f>I16*(1-0)</f>
        <v>0</v>
      </c>
      <c r="AQ16" s="15" t="s">
        <v>11</v>
      </c>
      <c r="AV16" s="14">
        <f>AW16+AX16</f>
        <v>0</v>
      </c>
      <c r="AW16" s="14">
        <f>H16*AO16</f>
        <v>0</v>
      </c>
      <c r="AX16" s="14">
        <f>H16*AP16</f>
        <v>0</v>
      </c>
      <c r="AY16" s="17" t="s">
        <v>214</v>
      </c>
      <c r="AZ16" s="17" t="s">
        <v>220</v>
      </c>
      <c r="BA16" s="13" t="s">
        <v>224</v>
      </c>
      <c r="BC16" s="14">
        <f>AW16+AX16</f>
        <v>0</v>
      </c>
      <c r="BD16" s="14">
        <f>I16/(100-BE16)*100</f>
        <v>0</v>
      </c>
      <c r="BE16" s="14">
        <v>0</v>
      </c>
      <c r="BF16" s="14">
        <f>16</f>
        <v>16</v>
      </c>
      <c r="BH16" s="7">
        <f>H16*AO16</f>
        <v>0</v>
      </c>
      <c r="BI16" s="7">
        <f>H16*AP16</f>
        <v>0</v>
      </c>
      <c r="BJ16" s="7">
        <f>H16*I16</f>
        <v>0</v>
      </c>
      <c r="BK16" s="7" t="s">
        <v>229</v>
      </c>
      <c r="BL16" s="14" t="s">
        <v>58</v>
      </c>
    </row>
    <row r="17" spans="1:64" ht="12.75">
      <c r="A17" s="53" t="s">
        <v>10</v>
      </c>
      <c r="B17" s="53" t="s">
        <v>60</v>
      </c>
      <c r="C17" s="106" t="s">
        <v>119</v>
      </c>
      <c r="D17" s="107"/>
      <c r="E17" s="107"/>
      <c r="F17" s="107"/>
      <c r="G17" s="53" t="s">
        <v>179</v>
      </c>
      <c r="H17" s="7">
        <v>20</v>
      </c>
      <c r="I17" s="48">
        <v>0</v>
      </c>
      <c r="J17" s="7">
        <f>H17*AO17</f>
        <v>0</v>
      </c>
      <c r="K17" s="7">
        <f>H17*AP17</f>
        <v>0</v>
      </c>
      <c r="L17" s="7">
        <f>H17*I17</f>
        <v>0</v>
      </c>
      <c r="M17" s="15" t="s">
        <v>201</v>
      </c>
      <c r="N17" s="44"/>
      <c r="Z17" s="14">
        <f>IF(AQ17="5",BJ17,0)</f>
        <v>0</v>
      </c>
      <c r="AB17" s="14">
        <f>IF(AQ17="1",BH17,0)</f>
        <v>0</v>
      </c>
      <c r="AC17" s="14">
        <f>IF(AQ17="1",BI17,0)</f>
        <v>0</v>
      </c>
      <c r="AD17" s="14">
        <f>IF(AQ17="7",BH17,0)</f>
        <v>0</v>
      </c>
      <c r="AE17" s="14">
        <f>IF(AQ17="7",BI17,0)</f>
        <v>0</v>
      </c>
      <c r="AF17" s="14">
        <f>IF(AQ17="2",BH17,0)</f>
        <v>0</v>
      </c>
      <c r="AG17" s="14">
        <f>IF(AQ17="2",BI17,0)</f>
        <v>0</v>
      </c>
      <c r="AH17" s="14">
        <f>IF(AQ17="0",BJ17,0)</f>
        <v>0</v>
      </c>
      <c r="AI17" s="13"/>
      <c r="AJ17" s="7">
        <f>IF(AN17=0,L17,0)</f>
        <v>0</v>
      </c>
      <c r="AK17" s="7">
        <f>IF(AN17=15,L17,0)</f>
        <v>0</v>
      </c>
      <c r="AL17" s="7">
        <f>IF(AN17=21,L17,0)</f>
        <v>0</v>
      </c>
      <c r="AN17" s="14">
        <v>21</v>
      </c>
      <c r="AO17" s="14">
        <f>I17*0</f>
        <v>0</v>
      </c>
      <c r="AP17" s="14">
        <f>I17*(1-0)</f>
        <v>0</v>
      </c>
      <c r="AQ17" s="15" t="s">
        <v>7</v>
      </c>
      <c r="AV17" s="14">
        <f>AW17+AX17</f>
        <v>0</v>
      </c>
      <c r="AW17" s="14">
        <f>H17*AO17</f>
        <v>0</v>
      </c>
      <c r="AX17" s="14">
        <f>H17*AP17</f>
        <v>0</v>
      </c>
      <c r="AY17" s="17" t="s">
        <v>214</v>
      </c>
      <c r="AZ17" s="17" t="s">
        <v>220</v>
      </c>
      <c r="BA17" s="13" t="s">
        <v>224</v>
      </c>
      <c r="BC17" s="14">
        <f>AW17+AX17</f>
        <v>0</v>
      </c>
      <c r="BD17" s="14">
        <f>I17/(100-BE17)*100</f>
        <v>0</v>
      </c>
      <c r="BE17" s="14">
        <v>0</v>
      </c>
      <c r="BF17" s="14">
        <f>17</f>
        <v>17</v>
      </c>
      <c r="BH17" s="7">
        <f>H17*AO17</f>
        <v>0</v>
      </c>
      <c r="BI17" s="7">
        <f>H17*AP17</f>
        <v>0</v>
      </c>
      <c r="BJ17" s="7">
        <f>H17*I17</f>
        <v>0</v>
      </c>
      <c r="BK17" s="7" t="s">
        <v>229</v>
      </c>
      <c r="BL17" s="14" t="s">
        <v>58</v>
      </c>
    </row>
    <row r="18" spans="1:64" ht="12.75">
      <c r="A18" s="53" t="s">
        <v>11</v>
      </c>
      <c r="B18" s="53" t="s">
        <v>61</v>
      </c>
      <c r="C18" s="106" t="s">
        <v>120</v>
      </c>
      <c r="D18" s="107"/>
      <c r="E18" s="107"/>
      <c r="F18" s="107"/>
      <c r="G18" s="53" t="s">
        <v>180</v>
      </c>
      <c r="H18" s="7">
        <v>23</v>
      </c>
      <c r="I18" s="48">
        <v>0</v>
      </c>
      <c r="J18" s="7">
        <f>H18*AO18</f>
        <v>0</v>
      </c>
      <c r="K18" s="7">
        <f>H18*AP18</f>
        <v>0</v>
      </c>
      <c r="L18" s="7">
        <f>H18*I18</f>
        <v>0</v>
      </c>
      <c r="M18" s="15"/>
      <c r="N18" s="44"/>
      <c r="Z18" s="14">
        <f>IF(AQ18="5",BJ18,0)</f>
        <v>0</v>
      </c>
      <c r="AB18" s="14">
        <f>IF(AQ18="1",BH18,0)</f>
        <v>0</v>
      </c>
      <c r="AC18" s="14">
        <f>IF(AQ18="1",BI18,0)</f>
        <v>0</v>
      </c>
      <c r="AD18" s="14">
        <f>IF(AQ18="7",BH18,0)</f>
        <v>0</v>
      </c>
      <c r="AE18" s="14">
        <f>IF(AQ18="7",BI18,0)</f>
        <v>0</v>
      </c>
      <c r="AF18" s="14">
        <f>IF(AQ18="2",BH18,0)</f>
        <v>0</v>
      </c>
      <c r="AG18" s="14">
        <f>IF(AQ18="2",BI18,0)</f>
        <v>0</v>
      </c>
      <c r="AH18" s="14">
        <f>IF(AQ18="0",BJ18,0)</f>
        <v>0</v>
      </c>
      <c r="AI18" s="13"/>
      <c r="AJ18" s="7">
        <f>IF(AN18=0,L18,0)</f>
        <v>0</v>
      </c>
      <c r="AK18" s="7">
        <f>IF(AN18=15,L18,0)</f>
        <v>0</v>
      </c>
      <c r="AL18" s="7">
        <f>IF(AN18=21,L18,0)</f>
        <v>0</v>
      </c>
      <c r="AN18" s="14">
        <v>21</v>
      </c>
      <c r="AO18" s="14">
        <f>I18*0</f>
        <v>0</v>
      </c>
      <c r="AP18" s="14">
        <f>I18*(1-0)</f>
        <v>0</v>
      </c>
      <c r="AQ18" s="15" t="s">
        <v>7</v>
      </c>
      <c r="AV18" s="14">
        <f>AW18+AX18</f>
        <v>0</v>
      </c>
      <c r="AW18" s="14">
        <f>H18*AO18</f>
        <v>0</v>
      </c>
      <c r="AX18" s="14">
        <f>H18*AP18</f>
        <v>0</v>
      </c>
      <c r="AY18" s="17" t="s">
        <v>214</v>
      </c>
      <c r="AZ18" s="17" t="s">
        <v>220</v>
      </c>
      <c r="BA18" s="13" t="s">
        <v>224</v>
      </c>
      <c r="BC18" s="14">
        <f>AW18+AX18</f>
        <v>0</v>
      </c>
      <c r="BD18" s="14">
        <f>I18/(100-BE18)*100</f>
        <v>0</v>
      </c>
      <c r="BE18" s="14">
        <v>0</v>
      </c>
      <c r="BF18" s="14">
        <f>18</f>
        <v>18</v>
      </c>
      <c r="BH18" s="7">
        <f>H18*AO18</f>
        <v>0</v>
      </c>
      <c r="BI18" s="7">
        <f>H18*AP18</f>
        <v>0</v>
      </c>
      <c r="BJ18" s="7">
        <f>H18*I18</f>
        <v>0</v>
      </c>
      <c r="BK18" s="7" t="s">
        <v>229</v>
      </c>
      <c r="BL18" s="14" t="s">
        <v>58</v>
      </c>
    </row>
    <row r="19" spans="1:64" ht="12.75">
      <c r="A19" s="53" t="s">
        <v>12</v>
      </c>
      <c r="B19" s="53" t="s">
        <v>62</v>
      </c>
      <c r="C19" s="106" t="s">
        <v>121</v>
      </c>
      <c r="D19" s="107"/>
      <c r="E19" s="107"/>
      <c r="F19" s="107"/>
      <c r="G19" s="53" t="s">
        <v>176</v>
      </c>
      <c r="H19" s="7">
        <v>2265</v>
      </c>
      <c r="I19" s="48">
        <v>0</v>
      </c>
      <c r="J19" s="7">
        <f>H19*AO19</f>
        <v>0</v>
      </c>
      <c r="K19" s="7">
        <f>H19*AP19</f>
        <v>0</v>
      </c>
      <c r="L19" s="7">
        <f>H19*I19</f>
        <v>0</v>
      </c>
      <c r="M19" s="15"/>
      <c r="N19" s="44"/>
      <c r="Z19" s="14">
        <f>IF(AQ19="5",BJ19,0)</f>
        <v>0</v>
      </c>
      <c r="AB19" s="14">
        <f>IF(AQ19="1",BH19,0)</f>
        <v>0</v>
      </c>
      <c r="AC19" s="14">
        <f>IF(AQ19="1",BI19,0)</f>
        <v>0</v>
      </c>
      <c r="AD19" s="14">
        <f>IF(AQ19="7",BH19,0)</f>
        <v>0</v>
      </c>
      <c r="AE19" s="14">
        <f>IF(AQ19="7",BI19,0)</f>
        <v>0</v>
      </c>
      <c r="AF19" s="14">
        <f>IF(AQ19="2",BH19,0)</f>
        <v>0</v>
      </c>
      <c r="AG19" s="14">
        <f>IF(AQ19="2",BI19,0)</f>
        <v>0</v>
      </c>
      <c r="AH19" s="14">
        <f>IF(AQ19="0",BJ19,0)</f>
        <v>0</v>
      </c>
      <c r="AI19" s="13"/>
      <c r="AJ19" s="7">
        <f>IF(AN19=0,L19,0)</f>
        <v>0</v>
      </c>
      <c r="AK19" s="7">
        <f>IF(AN19=15,L19,0)</f>
        <v>0</v>
      </c>
      <c r="AL19" s="7">
        <f>IF(AN19=21,L19,0)</f>
        <v>0</v>
      </c>
      <c r="AN19" s="14">
        <v>21</v>
      </c>
      <c r="AO19" s="14">
        <f>I19*0</f>
        <v>0</v>
      </c>
      <c r="AP19" s="14">
        <f>I19*(1-0)</f>
        <v>0</v>
      </c>
      <c r="AQ19" s="15" t="s">
        <v>7</v>
      </c>
      <c r="AV19" s="14">
        <f>AW19+AX19</f>
        <v>0</v>
      </c>
      <c r="AW19" s="14">
        <f>H19*AO19</f>
        <v>0</v>
      </c>
      <c r="AX19" s="14">
        <f>H19*AP19</f>
        <v>0</v>
      </c>
      <c r="AY19" s="17" t="s">
        <v>214</v>
      </c>
      <c r="AZ19" s="17" t="s">
        <v>220</v>
      </c>
      <c r="BA19" s="13" t="s">
        <v>224</v>
      </c>
      <c r="BC19" s="14">
        <f>AW19+AX19</f>
        <v>0</v>
      </c>
      <c r="BD19" s="14">
        <f>I19/(100-BE19)*100</f>
        <v>0</v>
      </c>
      <c r="BE19" s="14">
        <v>0</v>
      </c>
      <c r="BF19" s="14">
        <f>19</f>
        <v>19</v>
      </c>
      <c r="BH19" s="7">
        <f>H19*AO19</f>
        <v>0</v>
      </c>
      <c r="BI19" s="7">
        <f>H19*AP19</f>
        <v>0</v>
      </c>
      <c r="BJ19" s="7">
        <f>H19*I19</f>
        <v>0</v>
      </c>
      <c r="BK19" s="7" t="s">
        <v>229</v>
      </c>
      <c r="BL19" s="14" t="s">
        <v>58</v>
      </c>
    </row>
    <row r="20" spans="1:47" ht="12.75">
      <c r="A20" s="5"/>
      <c r="B20" s="52" t="s">
        <v>63</v>
      </c>
      <c r="C20" s="108" t="s">
        <v>122</v>
      </c>
      <c r="D20" s="109"/>
      <c r="E20" s="109"/>
      <c r="F20" s="109"/>
      <c r="G20" s="5" t="s">
        <v>6</v>
      </c>
      <c r="H20" s="5" t="s">
        <v>6</v>
      </c>
      <c r="I20" s="5" t="s">
        <v>6</v>
      </c>
      <c r="J20" s="19">
        <f>SUM(J21:J22)</f>
        <v>0</v>
      </c>
      <c r="K20" s="19">
        <f>SUM(K21:K22)</f>
        <v>0</v>
      </c>
      <c r="L20" s="19">
        <f>SUM(L21:L22)</f>
        <v>0</v>
      </c>
      <c r="M20" s="13"/>
      <c r="N20" s="44"/>
      <c r="AI20" s="13"/>
      <c r="AS20" s="19">
        <f>SUM(AJ21:AJ22)</f>
        <v>0</v>
      </c>
      <c r="AT20" s="19">
        <f>SUM(AK21:AK22)</f>
        <v>0</v>
      </c>
      <c r="AU20" s="19">
        <f>SUM(AL21:AL22)</f>
        <v>0</v>
      </c>
    </row>
    <row r="21" spans="1:64" ht="12.75">
      <c r="A21" s="53" t="s">
        <v>13</v>
      </c>
      <c r="B21" s="53" t="s">
        <v>64</v>
      </c>
      <c r="C21" s="106" t="s">
        <v>123</v>
      </c>
      <c r="D21" s="107"/>
      <c r="E21" s="107"/>
      <c r="F21" s="107"/>
      <c r="G21" s="53" t="s">
        <v>181</v>
      </c>
      <c r="H21" s="7">
        <v>48</v>
      </c>
      <c r="I21" s="48">
        <v>0</v>
      </c>
      <c r="J21" s="7">
        <f>H21*AO21</f>
        <v>0</v>
      </c>
      <c r="K21" s="7">
        <f>H21*AP21</f>
        <v>0</v>
      </c>
      <c r="L21" s="7">
        <f>H21*I21</f>
        <v>0</v>
      </c>
      <c r="M21" s="15" t="s">
        <v>200</v>
      </c>
      <c r="N21" s="44"/>
      <c r="Z21" s="14">
        <f>IF(AQ21="5",BJ21,0)</f>
        <v>0</v>
      </c>
      <c r="AB21" s="14">
        <f>IF(AQ21="1",BH21,0)</f>
        <v>0</v>
      </c>
      <c r="AC21" s="14">
        <f>IF(AQ21="1",BI21,0)</f>
        <v>0</v>
      </c>
      <c r="AD21" s="14">
        <f>IF(AQ21="7",BH21,0)</f>
        <v>0</v>
      </c>
      <c r="AE21" s="14">
        <f>IF(AQ21="7",BI21,0)</f>
        <v>0</v>
      </c>
      <c r="AF21" s="14">
        <f>IF(AQ21="2",BH21,0)</f>
        <v>0</v>
      </c>
      <c r="AG21" s="14">
        <f>IF(AQ21="2",BI21,0)</f>
        <v>0</v>
      </c>
      <c r="AH21" s="14">
        <f>IF(AQ21="0",BJ21,0)</f>
        <v>0</v>
      </c>
      <c r="AI21" s="13"/>
      <c r="AJ21" s="7">
        <f>IF(AN21=0,L21,0)</f>
        <v>0</v>
      </c>
      <c r="AK21" s="7">
        <f>IF(AN21=15,L21,0)</f>
        <v>0</v>
      </c>
      <c r="AL21" s="7">
        <f>IF(AN21=21,L21,0)</f>
        <v>0</v>
      </c>
      <c r="AN21" s="14">
        <v>21</v>
      </c>
      <c r="AO21" s="14">
        <f>I21*0.218349559739423</f>
        <v>0</v>
      </c>
      <c r="AP21" s="14">
        <f>I21*(1-0.218349559739423)</f>
        <v>0</v>
      </c>
      <c r="AQ21" s="15" t="s">
        <v>7</v>
      </c>
      <c r="AV21" s="14">
        <f>AW21+AX21</f>
        <v>0</v>
      </c>
      <c r="AW21" s="14">
        <f>H21*AO21</f>
        <v>0</v>
      </c>
      <c r="AX21" s="14">
        <f>H21*AP21</f>
        <v>0</v>
      </c>
      <c r="AY21" s="17" t="s">
        <v>215</v>
      </c>
      <c r="AZ21" s="17" t="s">
        <v>221</v>
      </c>
      <c r="BA21" s="13" t="s">
        <v>224</v>
      </c>
      <c r="BC21" s="14">
        <f>AW21+AX21</f>
        <v>0</v>
      </c>
      <c r="BD21" s="14">
        <f>I21/(100-BE21)*100</f>
        <v>0</v>
      </c>
      <c r="BE21" s="14">
        <v>0</v>
      </c>
      <c r="BF21" s="14">
        <f>21</f>
        <v>21</v>
      </c>
      <c r="BH21" s="7">
        <f>H21*AO21</f>
        <v>0</v>
      </c>
      <c r="BI21" s="7">
        <f>H21*AP21</f>
        <v>0</v>
      </c>
      <c r="BJ21" s="7">
        <f>H21*I21</f>
        <v>0</v>
      </c>
      <c r="BK21" s="7" t="s">
        <v>229</v>
      </c>
      <c r="BL21" s="14">
        <v>59</v>
      </c>
    </row>
    <row r="22" spans="1:64" ht="12.75">
      <c r="A22" s="51" t="s">
        <v>14</v>
      </c>
      <c r="B22" s="51" t="s">
        <v>65</v>
      </c>
      <c r="C22" s="110" t="s">
        <v>124</v>
      </c>
      <c r="D22" s="111"/>
      <c r="E22" s="111"/>
      <c r="F22" s="111"/>
      <c r="G22" s="51" t="s">
        <v>179</v>
      </c>
      <c r="H22" s="8">
        <v>55</v>
      </c>
      <c r="I22" s="49">
        <v>0</v>
      </c>
      <c r="J22" s="8">
        <f>H22*AO22</f>
        <v>0</v>
      </c>
      <c r="K22" s="8">
        <f>H22*AP22</f>
        <v>0</v>
      </c>
      <c r="L22" s="8">
        <f>H22*I22</f>
        <v>0</v>
      </c>
      <c r="M22" s="16" t="s">
        <v>200</v>
      </c>
      <c r="N22" s="44"/>
      <c r="Z22" s="14">
        <f>IF(AQ22="5",BJ22,0)</f>
        <v>0</v>
      </c>
      <c r="AB22" s="14">
        <f>IF(AQ22="1",BH22,0)</f>
        <v>0</v>
      </c>
      <c r="AC22" s="14">
        <f>IF(AQ22="1",BI22,0)</f>
        <v>0</v>
      </c>
      <c r="AD22" s="14">
        <f>IF(AQ22="7",BH22,0)</f>
        <v>0</v>
      </c>
      <c r="AE22" s="14">
        <f>IF(AQ22="7",BI22,0)</f>
        <v>0</v>
      </c>
      <c r="AF22" s="14">
        <f>IF(AQ22="2",BH22,0)</f>
        <v>0</v>
      </c>
      <c r="AG22" s="14">
        <f>IF(AQ22="2",BI22,0)</f>
        <v>0</v>
      </c>
      <c r="AH22" s="14">
        <f>IF(AQ22="0",BJ22,0)</f>
        <v>0</v>
      </c>
      <c r="AI22" s="13"/>
      <c r="AJ22" s="8">
        <f>IF(AN22=0,L22,0)</f>
        <v>0</v>
      </c>
      <c r="AK22" s="8">
        <f>IF(AN22=15,L22,0)</f>
        <v>0</v>
      </c>
      <c r="AL22" s="8">
        <f>IF(AN22=21,L22,0)</f>
        <v>0</v>
      </c>
      <c r="AN22" s="14">
        <v>21</v>
      </c>
      <c r="AO22" s="14">
        <f>I22*1</f>
        <v>0</v>
      </c>
      <c r="AP22" s="14">
        <f>I22*(1-1)</f>
        <v>0</v>
      </c>
      <c r="AQ22" s="16" t="s">
        <v>7</v>
      </c>
      <c r="AV22" s="14">
        <f>AW22+AX22</f>
        <v>0</v>
      </c>
      <c r="AW22" s="14">
        <f>H22*AO22</f>
        <v>0</v>
      </c>
      <c r="AX22" s="14">
        <f>H22*AP22</f>
        <v>0</v>
      </c>
      <c r="AY22" s="17" t="s">
        <v>215</v>
      </c>
      <c r="AZ22" s="17" t="s">
        <v>221</v>
      </c>
      <c r="BA22" s="13" t="s">
        <v>224</v>
      </c>
      <c r="BC22" s="14">
        <f>AW22+AX22</f>
        <v>0</v>
      </c>
      <c r="BD22" s="14">
        <f>I22/(100-BE22)*100</f>
        <v>0</v>
      </c>
      <c r="BE22" s="14">
        <v>0</v>
      </c>
      <c r="BF22" s="14">
        <f>22</f>
        <v>22</v>
      </c>
      <c r="BH22" s="8">
        <f>H22*AO22</f>
        <v>0</v>
      </c>
      <c r="BI22" s="8">
        <f>H22*AP22</f>
        <v>0</v>
      </c>
      <c r="BJ22" s="8">
        <f>H22*I22</f>
        <v>0</v>
      </c>
      <c r="BK22" s="8" t="s">
        <v>230</v>
      </c>
      <c r="BL22" s="14">
        <v>59</v>
      </c>
    </row>
    <row r="23" spans="1:47" ht="12.75">
      <c r="A23" s="5"/>
      <c r="B23" s="52" t="s">
        <v>66</v>
      </c>
      <c r="C23" s="108" t="s">
        <v>125</v>
      </c>
      <c r="D23" s="109"/>
      <c r="E23" s="109"/>
      <c r="F23" s="109"/>
      <c r="G23" s="5" t="s">
        <v>6</v>
      </c>
      <c r="H23" s="5" t="s">
        <v>6</v>
      </c>
      <c r="I23" s="5" t="s">
        <v>6</v>
      </c>
      <c r="J23" s="19">
        <f>SUM(J24:J24)</f>
        <v>0</v>
      </c>
      <c r="K23" s="19">
        <f>SUM(K24:K24)</f>
        <v>0</v>
      </c>
      <c r="L23" s="19">
        <f>SUM(L24:L24)</f>
        <v>0</v>
      </c>
      <c r="M23" s="13"/>
      <c r="N23" s="44"/>
      <c r="AI23" s="13"/>
      <c r="AS23" s="19">
        <f>SUM(AJ24:AJ24)</f>
        <v>0</v>
      </c>
      <c r="AT23" s="19">
        <f>SUM(AK24:AK24)</f>
        <v>0</v>
      </c>
      <c r="AU23" s="19">
        <f>SUM(AL24:AL24)</f>
        <v>0</v>
      </c>
    </row>
    <row r="24" spans="1:64" ht="12.75">
      <c r="A24" s="53" t="s">
        <v>15</v>
      </c>
      <c r="B24" s="53" t="s">
        <v>67</v>
      </c>
      <c r="C24" s="106" t="s">
        <v>126</v>
      </c>
      <c r="D24" s="107"/>
      <c r="E24" s="107"/>
      <c r="F24" s="107"/>
      <c r="G24" s="53" t="s">
        <v>180</v>
      </c>
      <c r="H24" s="7">
        <v>27</v>
      </c>
      <c r="I24" s="48">
        <v>0</v>
      </c>
      <c r="J24" s="7">
        <f>H24*AO24</f>
        <v>0</v>
      </c>
      <c r="K24" s="7">
        <f>H24*AP24</f>
        <v>0</v>
      </c>
      <c r="L24" s="7">
        <f>H24*I24</f>
        <v>0</v>
      </c>
      <c r="M24" s="15"/>
      <c r="N24" s="44"/>
      <c r="Z24" s="14">
        <f>IF(AQ24="5",BJ24,0)</f>
        <v>0</v>
      </c>
      <c r="AB24" s="14">
        <f>IF(AQ24="1",BH24,0)</f>
        <v>0</v>
      </c>
      <c r="AC24" s="14">
        <f>IF(AQ24="1",BI24,0)</f>
        <v>0</v>
      </c>
      <c r="AD24" s="14">
        <f>IF(AQ24="7",BH24,0)</f>
        <v>0</v>
      </c>
      <c r="AE24" s="14">
        <f>IF(AQ24="7",BI24,0)</f>
        <v>0</v>
      </c>
      <c r="AF24" s="14">
        <f>IF(AQ24="2",BH24,0)</f>
        <v>0</v>
      </c>
      <c r="AG24" s="14">
        <f>IF(AQ24="2",BI24,0)</f>
        <v>0</v>
      </c>
      <c r="AH24" s="14">
        <f>IF(AQ24="0",BJ24,0)</f>
        <v>0</v>
      </c>
      <c r="AI24" s="13"/>
      <c r="AJ24" s="7">
        <f>IF(AN24=0,L24,0)</f>
        <v>0</v>
      </c>
      <c r="AK24" s="7">
        <f>IF(AN24=15,L24,0)</f>
        <v>0</v>
      </c>
      <c r="AL24" s="7">
        <f>IF(AN24=21,L24,0)</f>
        <v>0</v>
      </c>
      <c r="AN24" s="14">
        <v>21</v>
      </c>
      <c r="AO24" s="14">
        <f>I24*0.0384615384615385</f>
        <v>0</v>
      </c>
      <c r="AP24" s="14">
        <f>I24*(1-0.0384615384615385)</f>
        <v>0</v>
      </c>
      <c r="AQ24" s="15" t="s">
        <v>8</v>
      </c>
      <c r="AV24" s="14">
        <f>AW24+AX24</f>
        <v>0</v>
      </c>
      <c r="AW24" s="14">
        <f>H24*AO24</f>
        <v>0</v>
      </c>
      <c r="AX24" s="14">
        <f>H24*AP24</f>
        <v>0</v>
      </c>
      <c r="AY24" s="17" t="s">
        <v>216</v>
      </c>
      <c r="AZ24" s="17" t="s">
        <v>222</v>
      </c>
      <c r="BA24" s="13" t="s">
        <v>224</v>
      </c>
      <c r="BC24" s="14">
        <f>AW24+AX24</f>
        <v>0</v>
      </c>
      <c r="BD24" s="14">
        <f>I24/(100-BE24)*100</f>
        <v>0</v>
      </c>
      <c r="BE24" s="14">
        <v>0</v>
      </c>
      <c r="BF24" s="14">
        <f>24</f>
        <v>24</v>
      </c>
      <c r="BH24" s="7">
        <f>H24*AO24</f>
        <v>0</v>
      </c>
      <c r="BI24" s="7">
        <f>H24*AP24</f>
        <v>0</v>
      </c>
      <c r="BJ24" s="7">
        <f>H24*I24</f>
        <v>0</v>
      </c>
      <c r="BK24" s="7" t="s">
        <v>229</v>
      </c>
      <c r="BL24" s="14" t="s">
        <v>66</v>
      </c>
    </row>
    <row r="25" spans="1:47" ht="12.75">
      <c r="A25" s="5"/>
      <c r="B25" s="52" t="s">
        <v>68</v>
      </c>
      <c r="C25" s="108" t="s">
        <v>127</v>
      </c>
      <c r="D25" s="109"/>
      <c r="E25" s="109"/>
      <c r="F25" s="109"/>
      <c r="G25" s="5" t="s">
        <v>6</v>
      </c>
      <c r="H25" s="5" t="s">
        <v>6</v>
      </c>
      <c r="I25" s="5" t="s">
        <v>6</v>
      </c>
      <c r="J25" s="19">
        <f>SUM(J26:J42)</f>
        <v>0</v>
      </c>
      <c r="K25" s="19">
        <f>SUM(K26:K42)</f>
        <v>0</v>
      </c>
      <c r="L25" s="19">
        <f>SUM(L26:L42)</f>
        <v>0</v>
      </c>
      <c r="M25" s="13"/>
      <c r="N25" s="44"/>
      <c r="AI25" s="13"/>
      <c r="AS25" s="19">
        <f>SUM(AJ26:AJ42)</f>
        <v>0</v>
      </c>
      <c r="AT25" s="19">
        <f>SUM(AK26:AK42)</f>
        <v>0</v>
      </c>
      <c r="AU25" s="19">
        <f>SUM(AL26:AL42)</f>
        <v>0</v>
      </c>
    </row>
    <row r="26" spans="1:64" ht="12.75">
      <c r="A26" s="53" t="s">
        <v>16</v>
      </c>
      <c r="B26" s="53" t="s">
        <v>69</v>
      </c>
      <c r="C26" s="106" t="s">
        <v>128</v>
      </c>
      <c r="D26" s="107"/>
      <c r="E26" s="107"/>
      <c r="F26" s="107"/>
      <c r="G26" s="53" t="s">
        <v>179</v>
      </c>
      <c r="H26" s="7">
        <v>11</v>
      </c>
      <c r="I26" s="48">
        <v>0</v>
      </c>
      <c r="J26" s="7">
        <f aca="true" t="shared" si="0" ref="J26:J42">H26*AO26</f>
        <v>0</v>
      </c>
      <c r="K26" s="7">
        <f aca="true" t="shared" si="1" ref="K26:K42">H26*AP26</f>
        <v>0</v>
      </c>
      <c r="L26" s="7">
        <f aca="true" t="shared" si="2" ref="L26:L42">H26*I26</f>
        <v>0</v>
      </c>
      <c r="M26" s="15" t="s">
        <v>200</v>
      </c>
      <c r="N26" s="44"/>
      <c r="Z26" s="14">
        <f aca="true" t="shared" si="3" ref="Z26:Z42">IF(AQ26="5",BJ26,0)</f>
        <v>0</v>
      </c>
      <c r="AB26" s="14">
        <f aca="true" t="shared" si="4" ref="AB26:AB42">IF(AQ26="1",BH26,0)</f>
        <v>0</v>
      </c>
      <c r="AC26" s="14">
        <f aca="true" t="shared" si="5" ref="AC26:AC42">IF(AQ26="1",BI26,0)</f>
        <v>0</v>
      </c>
      <c r="AD26" s="14">
        <f aca="true" t="shared" si="6" ref="AD26:AD42">IF(AQ26="7",BH26,0)</f>
        <v>0</v>
      </c>
      <c r="AE26" s="14">
        <f aca="true" t="shared" si="7" ref="AE26:AE42">IF(AQ26="7",BI26,0)</f>
        <v>0</v>
      </c>
      <c r="AF26" s="14">
        <f aca="true" t="shared" si="8" ref="AF26:AF42">IF(AQ26="2",BH26,0)</f>
        <v>0</v>
      </c>
      <c r="AG26" s="14">
        <f aca="true" t="shared" si="9" ref="AG26:AG42">IF(AQ26="2",BI26,0)</f>
        <v>0</v>
      </c>
      <c r="AH26" s="14">
        <f aca="true" t="shared" si="10" ref="AH26:AH42">IF(AQ26="0",BJ26,0)</f>
        <v>0</v>
      </c>
      <c r="AI26" s="13"/>
      <c r="AJ26" s="7">
        <f aca="true" t="shared" si="11" ref="AJ26:AJ42">IF(AN26=0,L26,0)</f>
        <v>0</v>
      </c>
      <c r="AK26" s="7">
        <f aca="true" t="shared" si="12" ref="AK26:AK42">IF(AN26=15,L26,0)</f>
        <v>0</v>
      </c>
      <c r="AL26" s="7">
        <f aca="true" t="shared" si="13" ref="AL26:AL42">IF(AN26=21,L26,0)</f>
        <v>0</v>
      </c>
      <c r="AN26" s="14">
        <v>21</v>
      </c>
      <c r="AO26" s="14">
        <f>I26*0</f>
        <v>0</v>
      </c>
      <c r="AP26" s="14">
        <f>I26*(1-0)</f>
        <v>0</v>
      </c>
      <c r="AQ26" s="15" t="s">
        <v>8</v>
      </c>
      <c r="AV26" s="14">
        <f aca="true" t="shared" si="14" ref="AV26:AV42">AW26+AX26</f>
        <v>0</v>
      </c>
      <c r="AW26" s="14">
        <f aca="true" t="shared" si="15" ref="AW26:AW42">H26*AO26</f>
        <v>0</v>
      </c>
      <c r="AX26" s="14">
        <f aca="true" t="shared" si="16" ref="AX26:AX42">H26*AP26</f>
        <v>0</v>
      </c>
      <c r="AY26" s="17" t="s">
        <v>217</v>
      </c>
      <c r="AZ26" s="17" t="s">
        <v>222</v>
      </c>
      <c r="BA26" s="13" t="s">
        <v>224</v>
      </c>
      <c r="BC26" s="14">
        <f aca="true" t="shared" si="17" ref="BC26:BC42">AW26+AX26</f>
        <v>0</v>
      </c>
      <c r="BD26" s="14">
        <f aca="true" t="shared" si="18" ref="BD26:BD42">I26/(100-BE26)*100</f>
        <v>0</v>
      </c>
      <c r="BE26" s="14">
        <v>0</v>
      </c>
      <c r="BF26" s="14">
        <f>26</f>
        <v>26</v>
      </c>
      <c r="BH26" s="7">
        <f aca="true" t="shared" si="19" ref="BH26:BH42">H26*AO26</f>
        <v>0</v>
      </c>
      <c r="BI26" s="7">
        <f aca="true" t="shared" si="20" ref="BI26:BI42">H26*AP26</f>
        <v>0</v>
      </c>
      <c r="BJ26" s="7">
        <f aca="true" t="shared" si="21" ref="BJ26:BJ42">H26*I26</f>
        <v>0</v>
      </c>
      <c r="BK26" s="7" t="s">
        <v>229</v>
      </c>
      <c r="BL26" s="14" t="s">
        <v>68</v>
      </c>
    </row>
    <row r="27" spans="1:64" s="46" customFormat="1" ht="12.75">
      <c r="A27" s="53" t="s">
        <v>17</v>
      </c>
      <c r="B27" s="53" t="s">
        <v>70</v>
      </c>
      <c r="C27" s="106" t="s">
        <v>129</v>
      </c>
      <c r="D27" s="107"/>
      <c r="E27" s="107"/>
      <c r="F27" s="107"/>
      <c r="G27" s="53" t="s">
        <v>179</v>
      </c>
      <c r="H27" s="7">
        <v>16</v>
      </c>
      <c r="I27" s="48">
        <v>0</v>
      </c>
      <c r="J27" s="7">
        <f t="shared" si="0"/>
        <v>0</v>
      </c>
      <c r="K27" s="7">
        <f t="shared" si="1"/>
        <v>0</v>
      </c>
      <c r="L27" s="7">
        <f t="shared" si="2"/>
        <v>0</v>
      </c>
      <c r="M27" s="15" t="s">
        <v>200</v>
      </c>
      <c r="N27" s="44"/>
      <c r="Z27" s="14">
        <f t="shared" si="3"/>
        <v>0</v>
      </c>
      <c r="AB27" s="14">
        <f t="shared" si="4"/>
        <v>0</v>
      </c>
      <c r="AC27" s="14">
        <f t="shared" si="5"/>
        <v>0</v>
      </c>
      <c r="AD27" s="14">
        <f t="shared" si="6"/>
        <v>0</v>
      </c>
      <c r="AE27" s="14">
        <f t="shared" si="7"/>
        <v>0</v>
      </c>
      <c r="AF27" s="14">
        <f t="shared" si="8"/>
        <v>0</v>
      </c>
      <c r="AG27" s="14">
        <f t="shared" si="9"/>
        <v>0</v>
      </c>
      <c r="AH27" s="14">
        <f t="shared" si="10"/>
        <v>0</v>
      </c>
      <c r="AI27" s="47"/>
      <c r="AJ27" s="7">
        <f t="shared" si="11"/>
        <v>0</v>
      </c>
      <c r="AK27" s="7">
        <f t="shared" si="12"/>
        <v>0</v>
      </c>
      <c r="AL27" s="7">
        <f t="shared" si="13"/>
        <v>0</v>
      </c>
      <c r="AN27" s="14">
        <v>21</v>
      </c>
      <c r="AO27" s="14">
        <f>I27*0</f>
        <v>0</v>
      </c>
      <c r="AP27" s="14">
        <f>I27*(1-0)</f>
        <v>0</v>
      </c>
      <c r="AQ27" s="15" t="s">
        <v>8</v>
      </c>
      <c r="AV27" s="14">
        <f t="shared" si="14"/>
        <v>0</v>
      </c>
      <c r="AW27" s="14">
        <f t="shared" si="15"/>
        <v>0</v>
      </c>
      <c r="AX27" s="14">
        <f t="shared" si="16"/>
        <v>0</v>
      </c>
      <c r="AY27" s="17" t="s">
        <v>217</v>
      </c>
      <c r="AZ27" s="17" t="s">
        <v>222</v>
      </c>
      <c r="BA27" s="47" t="s">
        <v>224</v>
      </c>
      <c r="BC27" s="14">
        <f t="shared" si="17"/>
        <v>0</v>
      </c>
      <c r="BD27" s="14">
        <f t="shared" si="18"/>
        <v>0</v>
      </c>
      <c r="BE27" s="14">
        <v>0</v>
      </c>
      <c r="BF27" s="14">
        <f>27</f>
        <v>27</v>
      </c>
      <c r="BH27" s="7">
        <f t="shared" si="19"/>
        <v>0</v>
      </c>
      <c r="BI27" s="7">
        <f t="shared" si="20"/>
        <v>0</v>
      </c>
      <c r="BJ27" s="7">
        <f t="shared" si="21"/>
        <v>0</v>
      </c>
      <c r="BK27" s="7" t="s">
        <v>229</v>
      </c>
      <c r="BL27" s="14" t="s">
        <v>68</v>
      </c>
    </row>
    <row r="28" spans="1:64" s="46" customFormat="1" ht="12.75">
      <c r="A28" s="53" t="s">
        <v>18</v>
      </c>
      <c r="B28" s="53" t="s">
        <v>71</v>
      </c>
      <c r="C28" s="106" t="s">
        <v>130</v>
      </c>
      <c r="D28" s="107"/>
      <c r="E28" s="107"/>
      <c r="F28" s="107"/>
      <c r="G28" s="53" t="s">
        <v>179</v>
      </c>
      <c r="H28" s="7">
        <v>11</v>
      </c>
      <c r="I28" s="48">
        <v>0</v>
      </c>
      <c r="J28" s="7">
        <f t="shared" si="0"/>
        <v>0</v>
      </c>
      <c r="K28" s="7">
        <f t="shared" si="1"/>
        <v>0</v>
      </c>
      <c r="L28" s="7">
        <f t="shared" si="2"/>
        <v>0</v>
      </c>
      <c r="M28" s="15" t="s">
        <v>200</v>
      </c>
      <c r="N28" s="44"/>
      <c r="Z28" s="14">
        <f t="shared" si="3"/>
        <v>0</v>
      </c>
      <c r="AB28" s="14">
        <f t="shared" si="4"/>
        <v>0</v>
      </c>
      <c r="AC28" s="14">
        <f t="shared" si="5"/>
        <v>0</v>
      </c>
      <c r="AD28" s="14">
        <f t="shared" si="6"/>
        <v>0</v>
      </c>
      <c r="AE28" s="14">
        <f t="shared" si="7"/>
        <v>0</v>
      </c>
      <c r="AF28" s="14">
        <f t="shared" si="8"/>
        <v>0</v>
      </c>
      <c r="AG28" s="14">
        <f t="shared" si="9"/>
        <v>0</v>
      </c>
      <c r="AH28" s="14">
        <f t="shared" si="10"/>
        <v>0</v>
      </c>
      <c r="AI28" s="47"/>
      <c r="AJ28" s="7">
        <f t="shared" si="11"/>
        <v>0</v>
      </c>
      <c r="AK28" s="7">
        <f t="shared" si="12"/>
        <v>0</v>
      </c>
      <c r="AL28" s="7">
        <f t="shared" si="13"/>
        <v>0</v>
      </c>
      <c r="AN28" s="14">
        <v>21</v>
      </c>
      <c r="AO28" s="14">
        <f>I28*0</f>
        <v>0</v>
      </c>
      <c r="AP28" s="14">
        <f>I28*(1-0)</f>
        <v>0</v>
      </c>
      <c r="AQ28" s="15" t="s">
        <v>8</v>
      </c>
      <c r="AV28" s="14">
        <f t="shared" si="14"/>
        <v>0</v>
      </c>
      <c r="AW28" s="14">
        <f t="shared" si="15"/>
        <v>0</v>
      </c>
      <c r="AX28" s="14">
        <f t="shared" si="16"/>
        <v>0</v>
      </c>
      <c r="AY28" s="17" t="s">
        <v>217</v>
      </c>
      <c r="AZ28" s="17" t="s">
        <v>222</v>
      </c>
      <c r="BA28" s="47" t="s">
        <v>224</v>
      </c>
      <c r="BC28" s="14">
        <f t="shared" si="17"/>
        <v>0</v>
      </c>
      <c r="BD28" s="14">
        <f t="shared" si="18"/>
        <v>0</v>
      </c>
      <c r="BE28" s="14">
        <v>0</v>
      </c>
      <c r="BF28" s="14">
        <f>28</f>
        <v>28</v>
      </c>
      <c r="BH28" s="7">
        <f t="shared" si="19"/>
        <v>0</v>
      </c>
      <c r="BI28" s="7">
        <f t="shared" si="20"/>
        <v>0</v>
      </c>
      <c r="BJ28" s="7">
        <f t="shared" si="21"/>
        <v>0</v>
      </c>
      <c r="BK28" s="7" t="s">
        <v>229</v>
      </c>
      <c r="BL28" s="14" t="s">
        <v>68</v>
      </c>
    </row>
    <row r="29" spans="1:64" s="46" customFormat="1" ht="12.75">
      <c r="A29" s="53" t="s">
        <v>19</v>
      </c>
      <c r="B29" s="53" t="s">
        <v>72</v>
      </c>
      <c r="C29" s="106" t="s">
        <v>131</v>
      </c>
      <c r="D29" s="107"/>
      <c r="E29" s="107"/>
      <c r="F29" s="107"/>
      <c r="G29" s="53" t="s">
        <v>179</v>
      </c>
      <c r="H29" s="7">
        <v>27</v>
      </c>
      <c r="I29" s="48">
        <v>0</v>
      </c>
      <c r="J29" s="7">
        <f t="shared" si="0"/>
        <v>0</v>
      </c>
      <c r="K29" s="7">
        <f t="shared" si="1"/>
        <v>0</v>
      </c>
      <c r="L29" s="7">
        <f t="shared" si="2"/>
        <v>0</v>
      </c>
      <c r="M29" s="15" t="s">
        <v>201</v>
      </c>
      <c r="N29" s="44"/>
      <c r="Z29" s="14">
        <f t="shared" si="3"/>
        <v>0</v>
      </c>
      <c r="AB29" s="14">
        <f t="shared" si="4"/>
        <v>0</v>
      </c>
      <c r="AC29" s="14">
        <f t="shared" si="5"/>
        <v>0</v>
      </c>
      <c r="AD29" s="14">
        <f t="shared" si="6"/>
        <v>0</v>
      </c>
      <c r="AE29" s="14">
        <f t="shared" si="7"/>
        <v>0</v>
      </c>
      <c r="AF29" s="14">
        <f t="shared" si="8"/>
        <v>0</v>
      </c>
      <c r="AG29" s="14">
        <f t="shared" si="9"/>
        <v>0</v>
      </c>
      <c r="AH29" s="14">
        <f t="shared" si="10"/>
        <v>0</v>
      </c>
      <c r="AI29" s="47"/>
      <c r="AJ29" s="7">
        <f t="shared" si="11"/>
        <v>0</v>
      </c>
      <c r="AK29" s="7">
        <f t="shared" si="12"/>
        <v>0</v>
      </c>
      <c r="AL29" s="7">
        <f t="shared" si="13"/>
        <v>0</v>
      </c>
      <c r="AN29" s="14">
        <v>21</v>
      </c>
      <c r="AO29" s="14">
        <f>I29*0</f>
        <v>0</v>
      </c>
      <c r="AP29" s="14">
        <f>I29*(1-0)</f>
        <v>0</v>
      </c>
      <c r="AQ29" s="15" t="s">
        <v>8</v>
      </c>
      <c r="AV29" s="14">
        <f t="shared" si="14"/>
        <v>0</v>
      </c>
      <c r="AW29" s="14">
        <f t="shared" si="15"/>
        <v>0</v>
      </c>
      <c r="AX29" s="14">
        <f t="shared" si="16"/>
        <v>0</v>
      </c>
      <c r="AY29" s="17" t="s">
        <v>217</v>
      </c>
      <c r="AZ29" s="17" t="s">
        <v>222</v>
      </c>
      <c r="BA29" s="47" t="s">
        <v>224</v>
      </c>
      <c r="BC29" s="14">
        <f t="shared" si="17"/>
        <v>0</v>
      </c>
      <c r="BD29" s="14">
        <f t="shared" si="18"/>
        <v>0</v>
      </c>
      <c r="BE29" s="14">
        <v>0</v>
      </c>
      <c r="BF29" s="14">
        <f>29</f>
        <v>29</v>
      </c>
      <c r="BH29" s="7">
        <f t="shared" si="19"/>
        <v>0</v>
      </c>
      <c r="BI29" s="7">
        <f t="shared" si="20"/>
        <v>0</v>
      </c>
      <c r="BJ29" s="7">
        <f t="shared" si="21"/>
        <v>0</v>
      </c>
      <c r="BK29" s="7" t="s">
        <v>229</v>
      </c>
      <c r="BL29" s="14" t="s">
        <v>68</v>
      </c>
    </row>
    <row r="30" spans="1:64" s="46" customFormat="1" ht="12.75">
      <c r="A30" s="53" t="s">
        <v>20</v>
      </c>
      <c r="B30" s="53" t="s">
        <v>73</v>
      </c>
      <c r="C30" s="106" t="s">
        <v>132</v>
      </c>
      <c r="D30" s="107"/>
      <c r="E30" s="107"/>
      <c r="F30" s="107"/>
      <c r="G30" s="53" t="s">
        <v>179</v>
      </c>
      <c r="H30" s="7">
        <v>27</v>
      </c>
      <c r="I30" s="48">
        <v>0</v>
      </c>
      <c r="J30" s="7">
        <f t="shared" si="0"/>
        <v>0</v>
      </c>
      <c r="K30" s="7">
        <f t="shared" si="1"/>
        <v>0</v>
      </c>
      <c r="L30" s="7">
        <f t="shared" si="2"/>
        <v>0</v>
      </c>
      <c r="M30" s="15" t="s">
        <v>200</v>
      </c>
      <c r="N30" s="44"/>
      <c r="Z30" s="14">
        <f t="shared" si="3"/>
        <v>0</v>
      </c>
      <c r="AB30" s="14">
        <f t="shared" si="4"/>
        <v>0</v>
      </c>
      <c r="AC30" s="14">
        <f t="shared" si="5"/>
        <v>0</v>
      </c>
      <c r="AD30" s="14">
        <f t="shared" si="6"/>
        <v>0</v>
      </c>
      <c r="AE30" s="14">
        <f t="shared" si="7"/>
        <v>0</v>
      </c>
      <c r="AF30" s="14">
        <f t="shared" si="8"/>
        <v>0</v>
      </c>
      <c r="AG30" s="14">
        <f t="shared" si="9"/>
        <v>0</v>
      </c>
      <c r="AH30" s="14">
        <f t="shared" si="10"/>
        <v>0</v>
      </c>
      <c r="AI30" s="47"/>
      <c r="AJ30" s="7">
        <f t="shared" si="11"/>
        <v>0</v>
      </c>
      <c r="AK30" s="7">
        <f t="shared" si="12"/>
        <v>0</v>
      </c>
      <c r="AL30" s="7">
        <f t="shared" si="13"/>
        <v>0</v>
      </c>
      <c r="AN30" s="14">
        <v>21</v>
      </c>
      <c r="AO30" s="14">
        <f>I30*0</f>
        <v>0</v>
      </c>
      <c r="AP30" s="14">
        <f>I30*(1-0)</f>
        <v>0</v>
      </c>
      <c r="AQ30" s="15" t="s">
        <v>8</v>
      </c>
      <c r="AV30" s="14">
        <f t="shared" si="14"/>
        <v>0</v>
      </c>
      <c r="AW30" s="14">
        <f t="shared" si="15"/>
        <v>0</v>
      </c>
      <c r="AX30" s="14">
        <f t="shared" si="16"/>
        <v>0</v>
      </c>
      <c r="AY30" s="17" t="s">
        <v>217</v>
      </c>
      <c r="AZ30" s="17" t="s">
        <v>222</v>
      </c>
      <c r="BA30" s="47" t="s">
        <v>224</v>
      </c>
      <c r="BC30" s="14">
        <f t="shared" si="17"/>
        <v>0</v>
      </c>
      <c r="BD30" s="14">
        <f t="shared" si="18"/>
        <v>0</v>
      </c>
      <c r="BE30" s="14">
        <v>0</v>
      </c>
      <c r="BF30" s="14">
        <f>30</f>
        <v>30</v>
      </c>
      <c r="BH30" s="7">
        <f t="shared" si="19"/>
        <v>0</v>
      </c>
      <c r="BI30" s="7">
        <f t="shared" si="20"/>
        <v>0</v>
      </c>
      <c r="BJ30" s="7">
        <f t="shared" si="21"/>
        <v>0</v>
      </c>
      <c r="BK30" s="7" t="s">
        <v>229</v>
      </c>
      <c r="BL30" s="14" t="s">
        <v>68</v>
      </c>
    </row>
    <row r="31" spans="1:64" s="46" customFormat="1" ht="12.75">
      <c r="A31" s="53" t="s">
        <v>21</v>
      </c>
      <c r="B31" s="53" t="s">
        <v>74</v>
      </c>
      <c r="C31" s="106" t="s">
        <v>133</v>
      </c>
      <c r="D31" s="107"/>
      <c r="E31" s="107"/>
      <c r="F31" s="107"/>
      <c r="G31" s="53" t="s">
        <v>176</v>
      </c>
      <c r="H31" s="7">
        <v>1200</v>
      </c>
      <c r="I31" s="48">
        <v>0</v>
      </c>
      <c r="J31" s="7">
        <f t="shared" si="0"/>
        <v>0</v>
      </c>
      <c r="K31" s="7">
        <f t="shared" si="1"/>
        <v>0</v>
      </c>
      <c r="L31" s="7">
        <f t="shared" si="2"/>
        <v>0</v>
      </c>
      <c r="M31" s="15" t="s">
        <v>200</v>
      </c>
      <c r="N31" s="44"/>
      <c r="Z31" s="14">
        <f t="shared" si="3"/>
        <v>0</v>
      </c>
      <c r="AB31" s="14">
        <f t="shared" si="4"/>
        <v>0</v>
      </c>
      <c r="AC31" s="14">
        <f t="shared" si="5"/>
        <v>0</v>
      </c>
      <c r="AD31" s="14">
        <f t="shared" si="6"/>
        <v>0</v>
      </c>
      <c r="AE31" s="14">
        <f t="shared" si="7"/>
        <v>0</v>
      </c>
      <c r="AF31" s="14">
        <f t="shared" si="8"/>
        <v>0</v>
      </c>
      <c r="AG31" s="14">
        <f t="shared" si="9"/>
        <v>0</v>
      </c>
      <c r="AH31" s="14">
        <f t="shared" si="10"/>
        <v>0</v>
      </c>
      <c r="AI31" s="47"/>
      <c r="AJ31" s="7">
        <f t="shared" si="11"/>
        <v>0</v>
      </c>
      <c r="AK31" s="7">
        <f t="shared" si="12"/>
        <v>0</v>
      </c>
      <c r="AL31" s="7">
        <f t="shared" si="13"/>
        <v>0</v>
      </c>
      <c r="AN31" s="14">
        <v>21</v>
      </c>
      <c r="AO31" s="14">
        <f>I31*0.559576271186441</f>
        <v>0</v>
      </c>
      <c r="AP31" s="14">
        <f>I31*(1-0.559576271186441)</f>
        <v>0</v>
      </c>
      <c r="AQ31" s="15" t="s">
        <v>8</v>
      </c>
      <c r="AV31" s="14">
        <f t="shared" si="14"/>
        <v>0</v>
      </c>
      <c r="AW31" s="14">
        <f t="shared" si="15"/>
        <v>0</v>
      </c>
      <c r="AX31" s="14">
        <f t="shared" si="16"/>
        <v>0</v>
      </c>
      <c r="AY31" s="17" t="s">
        <v>217</v>
      </c>
      <c r="AZ31" s="17" t="s">
        <v>222</v>
      </c>
      <c r="BA31" s="47" t="s">
        <v>224</v>
      </c>
      <c r="BC31" s="14">
        <f t="shared" si="17"/>
        <v>0</v>
      </c>
      <c r="BD31" s="14">
        <f t="shared" si="18"/>
        <v>0</v>
      </c>
      <c r="BE31" s="14">
        <v>0</v>
      </c>
      <c r="BF31" s="14">
        <f>31</f>
        <v>31</v>
      </c>
      <c r="BH31" s="7">
        <f t="shared" si="19"/>
        <v>0</v>
      </c>
      <c r="BI31" s="7">
        <f t="shared" si="20"/>
        <v>0</v>
      </c>
      <c r="BJ31" s="7">
        <f t="shared" si="21"/>
        <v>0</v>
      </c>
      <c r="BK31" s="7" t="s">
        <v>229</v>
      </c>
      <c r="BL31" s="14" t="s">
        <v>68</v>
      </c>
    </row>
    <row r="32" spans="1:64" s="46" customFormat="1" ht="12.75">
      <c r="A32" s="53" t="s">
        <v>22</v>
      </c>
      <c r="B32" s="53" t="s">
        <v>75</v>
      </c>
      <c r="C32" s="106" t="s">
        <v>134</v>
      </c>
      <c r="D32" s="107"/>
      <c r="E32" s="107"/>
      <c r="F32" s="107"/>
      <c r="G32" s="53" t="s">
        <v>176</v>
      </c>
      <c r="H32" s="7">
        <v>182</v>
      </c>
      <c r="I32" s="48">
        <v>0</v>
      </c>
      <c r="J32" s="7">
        <f t="shared" si="0"/>
        <v>0</v>
      </c>
      <c r="K32" s="7">
        <f t="shared" si="1"/>
        <v>0</v>
      </c>
      <c r="L32" s="7">
        <f t="shared" si="2"/>
        <v>0</v>
      </c>
      <c r="M32" s="15" t="s">
        <v>200</v>
      </c>
      <c r="N32" s="44"/>
      <c r="Z32" s="14">
        <f t="shared" si="3"/>
        <v>0</v>
      </c>
      <c r="AB32" s="14">
        <f t="shared" si="4"/>
        <v>0</v>
      </c>
      <c r="AC32" s="14">
        <f t="shared" si="5"/>
        <v>0</v>
      </c>
      <c r="AD32" s="14">
        <f t="shared" si="6"/>
        <v>0</v>
      </c>
      <c r="AE32" s="14">
        <f t="shared" si="7"/>
        <v>0</v>
      </c>
      <c r="AF32" s="14">
        <f t="shared" si="8"/>
        <v>0</v>
      </c>
      <c r="AG32" s="14">
        <f t="shared" si="9"/>
        <v>0</v>
      </c>
      <c r="AH32" s="14">
        <f t="shared" si="10"/>
        <v>0</v>
      </c>
      <c r="AI32" s="47"/>
      <c r="AJ32" s="7">
        <f t="shared" si="11"/>
        <v>0</v>
      </c>
      <c r="AK32" s="7">
        <f t="shared" si="12"/>
        <v>0</v>
      </c>
      <c r="AL32" s="7">
        <f t="shared" si="13"/>
        <v>0</v>
      </c>
      <c r="AN32" s="14">
        <v>21</v>
      </c>
      <c r="AO32" s="14">
        <f>I32*0.275036927621861</f>
        <v>0</v>
      </c>
      <c r="AP32" s="14">
        <f>I32*(1-0.275036927621861)</f>
        <v>0</v>
      </c>
      <c r="AQ32" s="15" t="s">
        <v>8</v>
      </c>
      <c r="AV32" s="14">
        <f t="shared" si="14"/>
        <v>0</v>
      </c>
      <c r="AW32" s="14">
        <f t="shared" si="15"/>
        <v>0</v>
      </c>
      <c r="AX32" s="14">
        <f t="shared" si="16"/>
        <v>0</v>
      </c>
      <c r="AY32" s="17" t="s">
        <v>217</v>
      </c>
      <c r="AZ32" s="17" t="s">
        <v>222</v>
      </c>
      <c r="BA32" s="47" t="s">
        <v>224</v>
      </c>
      <c r="BC32" s="14">
        <f t="shared" si="17"/>
        <v>0</v>
      </c>
      <c r="BD32" s="14">
        <f t="shared" si="18"/>
        <v>0</v>
      </c>
      <c r="BE32" s="14">
        <v>0</v>
      </c>
      <c r="BF32" s="14">
        <f>32</f>
        <v>32</v>
      </c>
      <c r="BH32" s="7">
        <f t="shared" si="19"/>
        <v>0</v>
      </c>
      <c r="BI32" s="7">
        <f t="shared" si="20"/>
        <v>0</v>
      </c>
      <c r="BJ32" s="7">
        <f t="shared" si="21"/>
        <v>0</v>
      </c>
      <c r="BK32" s="7" t="s">
        <v>229</v>
      </c>
      <c r="BL32" s="14" t="s">
        <v>68</v>
      </c>
    </row>
    <row r="33" spans="1:64" s="46" customFormat="1" ht="12.75">
      <c r="A33" s="53" t="s">
        <v>23</v>
      </c>
      <c r="B33" s="53" t="s">
        <v>76</v>
      </c>
      <c r="C33" s="106" t="s">
        <v>135</v>
      </c>
      <c r="D33" s="107"/>
      <c r="E33" s="107"/>
      <c r="F33" s="107"/>
      <c r="G33" s="53" t="s">
        <v>182</v>
      </c>
      <c r="H33" s="7">
        <v>1382</v>
      </c>
      <c r="I33" s="48">
        <v>0</v>
      </c>
      <c r="J33" s="7">
        <f t="shared" si="0"/>
        <v>0</v>
      </c>
      <c r="K33" s="7">
        <f t="shared" si="1"/>
        <v>0</v>
      </c>
      <c r="L33" s="7">
        <f t="shared" si="2"/>
        <v>0</v>
      </c>
      <c r="M33" s="15" t="s">
        <v>200</v>
      </c>
      <c r="N33" s="44"/>
      <c r="Z33" s="14">
        <f t="shared" si="3"/>
        <v>0</v>
      </c>
      <c r="AB33" s="14">
        <f t="shared" si="4"/>
        <v>0</v>
      </c>
      <c r="AC33" s="14">
        <f t="shared" si="5"/>
        <v>0</v>
      </c>
      <c r="AD33" s="14">
        <f t="shared" si="6"/>
        <v>0</v>
      </c>
      <c r="AE33" s="14">
        <f t="shared" si="7"/>
        <v>0</v>
      </c>
      <c r="AF33" s="14">
        <f t="shared" si="8"/>
        <v>0</v>
      </c>
      <c r="AG33" s="14">
        <f t="shared" si="9"/>
        <v>0</v>
      </c>
      <c r="AH33" s="14">
        <f t="shared" si="10"/>
        <v>0</v>
      </c>
      <c r="AI33" s="47"/>
      <c r="AJ33" s="7">
        <f t="shared" si="11"/>
        <v>0</v>
      </c>
      <c r="AK33" s="7">
        <f t="shared" si="12"/>
        <v>0</v>
      </c>
      <c r="AL33" s="7">
        <f t="shared" si="13"/>
        <v>0</v>
      </c>
      <c r="AN33" s="14">
        <v>21</v>
      </c>
      <c r="AO33" s="14">
        <f>I33*0</f>
        <v>0</v>
      </c>
      <c r="AP33" s="14">
        <f>I33*(1-0)</f>
        <v>0</v>
      </c>
      <c r="AQ33" s="15" t="s">
        <v>8</v>
      </c>
      <c r="AV33" s="14">
        <f t="shared" si="14"/>
        <v>0</v>
      </c>
      <c r="AW33" s="14">
        <f t="shared" si="15"/>
        <v>0</v>
      </c>
      <c r="AX33" s="14">
        <f t="shared" si="16"/>
        <v>0</v>
      </c>
      <c r="AY33" s="17" t="s">
        <v>217</v>
      </c>
      <c r="AZ33" s="17" t="s">
        <v>222</v>
      </c>
      <c r="BA33" s="47" t="s">
        <v>224</v>
      </c>
      <c r="BC33" s="14">
        <f t="shared" si="17"/>
        <v>0</v>
      </c>
      <c r="BD33" s="14">
        <f t="shared" si="18"/>
        <v>0</v>
      </c>
      <c r="BE33" s="14">
        <v>0</v>
      </c>
      <c r="BF33" s="14">
        <f>33</f>
        <v>33</v>
      </c>
      <c r="BH33" s="7">
        <f t="shared" si="19"/>
        <v>0</v>
      </c>
      <c r="BI33" s="7">
        <f t="shared" si="20"/>
        <v>0</v>
      </c>
      <c r="BJ33" s="7">
        <f t="shared" si="21"/>
        <v>0</v>
      </c>
      <c r="BK33" s="7" t="s">
        <v>229</v>
      </c>
      <c r="BL33" s="14" t="s">
        <v>68</v>
      </c>
    </row>
    <row r="34" spans="1:64" s="46" customFormat="1" ht="12.75">
      <c r="A34" s="53" t="s">
        <v>24</v>
      </c>
      <c r="B34" s="53" t="s">
        <v>77</v>
      </c>
      <c r="C34" s="106" t="s">
        <v>136</v>
      </c>
      <c r="D34" s="107"/>
      <c r="E34" s="107"/>
      <c r="F34" s="107"/>
      <c r="G34" s="53" t="s">
        <v>176</v>
      </c>
      <c r="H34" s="7">
        <v>27</v>
      </c>
      <c r="I34" s="48">
        <v>0</v>
      </c>
      <c r="J34" s="7">
        <f t="shared" si="0"/>
        <v>0</v>
      </c>
      <c r="K34" s="7">
        <f t="shared" si="1"/>
        <v>0</v>
      </c>
      <c r="L34" s="7">
        <f t="shared" si="2"/>
        <v>0</v>
      </c>
      <c r="M34" s="15" t="s">
        <v>200</v>
      </c>
      <c r="N34" s="44"/>
      <c r="Z34" s="14">
        <f t="shared" si="3"/>
        <v>0</v>
      </c>
      <c r="AB34" s="14">
        <f t="shared" si="4"/>
        <v>0</v>
      </c>
      <c r="AC34" s="14">
        <f t="shared" si="5"/>
        <v>0</v>
      </c>
      <c r="AD34" s="14">
        <f t="shared" si="6"/>
        <v>0</v>
      </c>
      <c r="AE34" s="14">
        <f t="shared" si="7"/>
        <v>0</v>
      </c>
      <c r="AF34" s="14">
        <f t="shared" si="8"/>
        <v>0</v>
      </c>
      <c r="AG34" s="14">
        <f t="shared" si="9"/>
        <v>0</v>
      </c>
      <c r="AH34" s="14">
        <f t="shared" si="10"/>
        <v>0</v>
      </c>
      <c r="AI34" s="47"/>
      <c r="AJ34" s="7">
        <f t="shared" si="11"/>
        <v>0</v>
      </c>
      <c r="AK34" s="7">
        <f t="shared" si="12"/>
        <v>0</v>
      </c>
      <c r="AL34" s="7">
        <f t="shared" si="13"/>
        <v>0</v>
      </c>
      <c r="AN34" s="14">
        <v>21</v>
      </c>
      <c r="AO34" s="14">
        <f>I34*0</f>
        <v>0</v>
      </c>
      <c r="AP34" s="14">
        <f>I34*(1-0)</f>
        <v>0</v>
      </c>
      <c r="AQ34" s="15" t="s">
        <v>8</v>
      </c>
      <c r="AV34" s="14">
        <f t="shared" si="14"/>
        <v>0</v>
      </c>
      <c r="AW34" s="14">
        <f t="shared" si="15"/>
        <v>0</v>
      </c>
      <c r="AX34" s="14">
        <f t="shared" si="16"/>
        <v>0</v>
      </c>
      <c r="AY34" s="17" t="s">
        <v>217</v>
      </c>
      <c r="AZ34" s="17" t="s">
        <v>222</v>
      </c>
      <c r="BA34" s="47" t="s">
        <v>224</v>
      </c>
      <c r="BC34" s="14">
        <f t="shared" si="17"/>
        <v>0</v>
      </c>
      <c r="BD34" s="14">
        <f t="shared" si="18"/>
        <v>0</v>
      </c>
      <c r="BE34" s="14">
        <v>0</v>
      </c>
      <c r="BF34" s="14">
        <f>34</f>
        <v>34</v>
      </c>
      <c r="BH34" s="7">
        <f t="shared" si="19"/>
        <v>0</v>
      </c>
      <c r="BI34" s="7">
        <f t="shared" si="20"/>
        <v>0</v>
      </c>
      <c r="BJ34" s="7">
        <f t="shared" si="21"/>
        <v>0</v>
      </c>
      <c r="BK34" s="7" t="s">
        <v>229</v>
      </c>
      <c r="BL34" s="14" t="s">
        <v>68</v>
      </c>
    </row>
    <row r="35" spans="1:64" s="46" customFormat="1" ht="12.75">
      <c r="A35" s="51" t="s">
        <v>25</v>
      </c>
      <c r="B35" s="51" t="s">
        <v>78</v>
      </c>
      <c r="C35" s="110" t="s">
        <v>137</v>
      </c>
      <c r="D35" s="111"/>
      <c r="E35" s="111"/>
      <c r="F35" s="111"/>
      <c r="G35" s="51" t="s">
        <v>183</v>
      </c>
      <c r="H35" s="8">
        <v>1</v>
      </c>
      <c r="I35" s="49">
        <v>0</v>
      </c>
      <c r="J35" s="8">
        <f t="shared" si="0"/>
        <v>0</v>
      </c>
      <c r="K35" s="8">
        <f t="shared" si="1"/>
        <v>0</v>
      </c>
      <c r="L35" s="8">
        <f t="shared" si="2"/>
        <v>0</v>
      </c>
      <c r="M35" s="16" t="s">
        <v>202</v>
      </c>
      <c r="N35" s="44"/>
      <c r="Z35" s="14">
        <f t="shared" si="3"/>
        <v>0</v>
      </c>
      <c r="AB35" s="14">
        <f t="shared" si="4"/>
        <v>0</v>
      </c>
      <c r="AC35" s="14">
        <f t="shared" si="5"/>
        <v>0</v>
      </c>
      <c r="AD35" s="14">
        <f t="shared" si="6"/>
        <v>0</v>
      </c>
      <c r="AE35" s="14">
        <f t="shared" si="7"/>
        <v>0</v>
      </c>
      <c r="AF35" s="14">
        <f t="shared" si="8"/>
        <v>0</v>
      </c>
      <c r="AG35" s="14">
        <f t="shared" si="9"/>
        <v>0</v>
      </c>
      <c r="AH35" s="14">
        <f t="shared" si="10"/>
        <v>0</v>
      </c>
      <c r="AI35" s="47"/>
      <c r="AJ35" s="8">
        <f t="shared" si="11"/>
        <v>0</v>
      </c>
      <c r="AK35" s="8">
        <f t="shared" si="12"/>
        <v>0</v>
      </c>
      <c r="AL35" s="8">
        <f t="shared" si="13"/>
        <v>0</v>
      </c>
      <c r="AN35" s="14">
        <v>21</v>
      </c>
      <c r="AO35" s="14">
        <f>I35*1</f>
        <v>0</v>
      </c>
      <c r="AP35" s="14">
        <f>I35*(1-1)</f>
        <v>0</v>
      </c>
      <c r="AQ35" s="16" t="s">
        <v>7</v>
      </c>
      <c r="AV35" s="14">
        <f t="shared" si="14"/>
        <v>0</v>
      </c>
      <c r="AW35" s="14">
        <f t="shared" si="15"/>
        <v>0</v>
      </c>
      <c r="AX35" s="14">
        <f t="shared" si="16"/>
        <v>0</v>
      </c>
      <c r="AY35" s="17" t="s">
        <v>217</v>
      </c>
      <c r="AZ35" s="17" t="s">
        <v>222</v>
      </c>
      <c r="BA35" s="47" t="s">
        <v>224</v>
      </c>
      <c r="BC35" s="14">
        <f t="shared" si="17"/>
        <v>0</v>
      </c>
      <c r="BD35" s="14">
        <f t="shared" si="18"/>
        <v>0</v>
      </c>
      <c r="BE35" s="14">
        <v>0</v>
      </c>
      <c r="BF35" s="14">
        <f>35</f>
        <v>35</v>
      </c>
      <c r="BH35" s="8">
        <f t="shared" si="19"/>
        <v>0</v>
      </c>
      <c r="BI35" s="8">
        <f t="shared" si="20"/>
        <v>0</v>
      </c>
      <c r="BJ35" s="8">
        <f t="shared" si="21"/>
        <v>0</v>
      </c>
      <c r="BK35" s="8" t="s">
        <v>230</v>
      </c>
      <c r="BL35" s="14" t="s">
        <v>68</v>
      </c>
    </row>
    <row r="36" spans="1:64" s="46" customFormat="1" ht="12.75">
      <c r="A36" s="53" t="s">
        <v>26</v>
      </c>
      <c r="B36" s="53" t="s">
        <v>79</v>
      </c>
      <c r="C36" s="106" t="s">
        <v>138</v>
      </c>
      <c r="D36" s="107"/>
      <c r="E36" s="107"/>
      <c r="F36" s="107"/>
      <c r="G36" s="53" t="s">
        <v>180</v>
      </c>
      <c r="H36" s="7">
        <v>27</v>
      </c>
      <c r="I36" s="48">
        <v>0</v>
      </c>
      <c r="J36" s="7">
        <f t="shared" si="0"/>
        <v>0</v>
      </c>
      <c r="K36" s="7">
        <f t="shared" si="1"/>
        <v>0</v>
      </c>
      <c r="L36" s="7">
        <f t="shared" si="2"/>
        <v>0</v>
      </c>
      <c r="M36" s="15" t="s">
        <v>200</v>
      </c>
      <c r="N36" s="44"/>
      <c r="Z36" s="14">
        <f t="shared" si="3"/>
        <v>0</v>
      </c>
      <c r="AB36" s="14">
        <f t="shared" si="4"/>
        <v>0</v>
      </c>
      <c r="AC36" s="14">
        <f t="shared" si="5"/>
        <v>0</v>
      </c>
      <c r="AD36" s="14">
        <f t="shared" si="6"/>
        <v>0</v>
      </c>
      <c r="AE36" s="14">
        <f t="shared" si="7"/>
        <v>0</v>
      </c>
      <c r="AF36" s="14">
        <f t="shared" si="8"/>
        <v>0</v>
      </c>
      <c r="AG36" s="14">
        <f t="shared" si="9"/>
        <v>0</v>
      </c>
      <c r="AH36" s="14">
        <f t="shared" si="10"/>
        <v>0</v>
      </c>
      <c r="AI36" s="47"/>
      <c r="AJ36" s="7">
        <f t="shared" si="11"/>
        <v>0</v>
      </c>
      <c r="AK36" s="7">
        <f t="shared" si="12"/>
        <v>0</v>
      </c>
      <c r="AL36" s="7">
        <f t="shared" si="13"/>
        <v>0</v>
      </c>
      <c r="AN36" s="14">
        <v>21</v>
      </c>
      <c r="AO36" s="14">
        <f>I36*0.166206685065931</f>
        <v>0</v>
      </c>
      <c r="AP36" s="14">
        <f>I36*(1-0.166206685065931)</f>
        <v>0</v>
      </c>
      <c r="AQ36" s="15" t="s">
        <v>7</v>
      </c>
      <c r="AV36" s="14">
        <f t="shared" si="14"/>
        <v>0</v>
      </c>
      <c r="AW36" s="14">
        <f t="shared" si="15"/>
        <v>0</v>
      </c>
      <c r="AX36" s="14">
        <f t="shared" si="16"/>
        <v>0</v>
      </c>
      <c r="AY36" s="17" t="s">
        <v>217</v>
      </c>
      <c r="AZ36" s="17" t="s">
        <v>222</v>
      </c>
      <c r="BA36" s="47" t="s">
        <v>224</v>
      </c>
      <c r="BC36" s="14">
        <f t="shared" si="17"/>
        <v>0</v>
      </c>
      <c r="BD36" s="14">
        <f t="shared" si="18"/>
        <v>0</v>
      </c>
      <c r="BE36" s="14">
        <v>0</v>
      </c>
      <c r="BF36" s="14">
        <f>36</f>
        <v>36</v>
      </c>
      <c r="BH36" s="7">
        <f t="shared" si="19"/>
        <v>0</v>
      </c>
      <c r="BI36" s="7">
        <f t="shared" si="20"/>
        <v>0</v>
      </c>
      <c r="BJ36" s="7">
        <f t="shared" si="21"/>
        <v>0</v>
      </c>
      <c r="BK36" s="7" t="s">
        <v>229</v>
      </c>
      <c r="BL36" s="14" t="s">
        <v>68</v>
      </c>
    </row>
    <row r="37" spans="1:64" s="46" customFormat="1" ht="12.75">
      <c r="A37" s="53" t="s">
        <v>27</v>
      </c>
      <c r="B37" s="53" t="s">
        <v>80</v>
      </c>
      <c r="C37" s="106" t="s">
        <v>139</v>
      </c>
      <c r="D37" s="107"/>
      <c r="E37" s="107"/>
      <c r="F37" s="107"/>
      <c r="G37" s="53" t="s">
        <v>179</v>
      </c>
      <c r="H37" s="7">
        <v>27</v>
      </c>
      <c r="I37" s="48">
        <v>0</v>
      </c>
      <c r="J37" s="7">
        <f t="shared" si="0"/>
        <v>0</v>
      </c>
      <c r="K37" s="7">
        <f t="shared" si="1"/>
        <v>0</v>
      </c>
      <c r="L37" s="7">
        <f t="shared" si="2"/>
        <v>0</v>
      </c>
      <c r="M37" s="15" t="s">
        <v>200</v>
      </c>
      <c r="N37" s="44"/>
      <c r="Z37" s="14">
        <f t="shared" si="3"/>
        <v>0</v>
      </c>
      <c r="AB37" s="14">
        <f t="shared" si="4"/>
        <v>0</v>
      </c>
      <c r="AC37" s="14">
        <f t="shared" si="5"/>
        <v>0</v>
      </c>
      <c r="AD37" s="14">
        <f t="shared" si="6"/>
        <v>0</v>
      </c>
      <c r="AE37" s="14">
        <f t="shared" si="7"/>
        <v>0</v>
      </c>
      <c r="AF37" s="14">
        <f t="shared" si="8"/>
        <v>0</v>
      </c>
      <c r="AG37" s="14">
        <f t="shared" si="9"/>
        <v>0</v>
      </c>
      <c r="AH37" s="14">
        <f t="shared" si="10"/>
        <v>0</v>
      </c>
      <c r="AI37" s="47"/>
      <c r="AJ37" s="7">
        <f t="shared" si="11"/>
        <v>0</v>
      </c>
      <c r="AK37" s="7">
        <f t="shared" si="12"/>
        <v>0</v>
      </c>
      <c r="AL37" s="7">
        <f t="shared" si="13"/>
        <v>0</v>
      </c>
      <c r="AN37" s="14">
        <v>21</v>
      </c>
      <c r="AO37" s="14">
        <f>I37*0.101268656716418</f>
        <v>0</v>
      </c>
      <c r="AP37" s="14">
        <f>I37*(1-0.101268656716418)</f>
        <v>0</v>
      </c>
      <c r="AQ37" s="15" t="s">
        <v>8</v>
      </c>
      <c r="AV37" s="14">
        <f t="shared" si="14"/>
        <v>0</v>
      </c>
      <c r="AW37" s="14">
        <f t="shared" si="15"/>
        <v>0</v>
      </c>
      <c r="AX37" s="14">
        <f t="shared" si="16"/>
        <v>0</v>
      </c>
      <c r="AY37" s="17" t="s">
        <v>217</v>
      </c>
      <c r="AZ37" s="17" t="s">
        <v>222</v>
      </c>
      <c r="BA37" s="47" t="s">
        <v>224</v>
      </c>
      <c r="BC37" s="14">
        <f t="shared" si="17"/>
        <v>0</v>
      </c>
      <c r="BD37" s="14">
        <f t="shared" si="18"/>
        <v>0</v>
      </c>
      <c r="BE37" s="14">
        <v>0</v>
      </c>
      <c r="BF37" s="14">
        <f>37</f>
        <v>37</v>
      </c>
      <c r="BH37" s="7">
        <f t="shared" si="19"/>
        <v>0</v>
      </c>
      <c r="BI37" s="7">
        <f t="shared" si="20"/>
        <v>0</v>
      </c>
      <c r="BJ37" s="7">
        <f t="shared" si="21"/>
        <v>0</v>
      </c>
      <c r="BK37" s="7" t="s">
        <v>229</v>
      </c>
      <c r="BL37" s="14" t="s">
        <v>68</v>
      </c>
    </row>
    <row r="38" spans="1:64" s="46" customFormat="1" ht="12.75">
      <c r="A38" s="53" t="s">
        <v>28</v>
      </c>
      <c r="B38" s="53" t="s">
        <v>81</v>
      </c>
      <c r="C38" s="106" t="s">
        <v>140</v>
      </c>
      <c r="D38" s="107"/>
      <c r="E38" s="107"/>
      <c r="F38" s="107"/>
      <c r="G38" s="53" t="s">
        <v>176</v>
      </c>
      <c r="H38" s="7">
        <v>1100</v>
      </c>
      <c r="I38" s="48">
        <v>0</v>
      </c>
      <c r="J38" s="7">
        <f t="shared" si="0"/>
        <v>0</v>
      </c>
      <c r="K38" s="7">
        <f t="shared" si="1"/>
        <v>0</v>
      </c>
      <c r="L38" s="7">
        <f t="shared" si="2"/>
        <v>0</v>
      </c>
      <c r="M38" s="15" t="s">
        <v>200</v>
      </c>
      <c r="N38" s="44"/>
      <c r="Z38" s="14">
        <f t="shared" si="3"/>
        <v>0</v>
      </c>
      <c r="AB38" s="14">
        <f t="shared" si="4"/>
        <v>0</v>
      </c>
      <c r="AC38" s="14">
        <f t="shared" si="5"/>
        <v>0</v>
      </c>
      <c r="AD38" s="14">
        <f t="shared" si="6"/>
        <v>0</v>
      </c>
      <c r="AE38" s="14">
        <f t="shared" si="7"/>
        <v>0</v>
      </c>
      <c r="AF38" s="14">
        <f t="shared" si="8"/>
        <v>0</v>
      </c>
      <c r="AG38" s="14">
        <f t="shared" si="9"/>
        <v>0</v>
      </c>
      <c r="AH38" s="14">
        <f t="shared" si="10"/>
        <v>0</v>
      </c>
      <c r="AI38" s="47"/>
      <c r="AJ38" s="7">
        <f t="shared" si="11"/>
        <v>0</v>
      </c>
      <c r="AK38" s="7">
        <f t="shared" si="12"/>
        <v>0</v>
      </c>
      <c r="AL38" s="7">
        <f t="shared" si="13"/>
        <v>0</v>
      </c>
      <c r="AN38" s="14">
        <v>21</v>
      </c>
      <c r="AO38" s="14">
        <f>I38*0.450060313630881</f>
        <v>0</v>
      </c>
      <c r="AP38" s="14">
        <f>I38*(1-0.450060313630881)</f>
        <v>0</v>
      </c>
      <c r="AQ38" s="15" t="s">
        <v>7</v>
      </c>
      <c r="AV38" s="14">
        <f t="shared" si="14"/>
        <v>0</v>
      </c>
      <c r="AW38" s="14">
        <f t="shared" si="15"/>
        <v>0</v>
      </c>
      <c r="AX38" s="14">
        <f t="shared" si="16"/>
        <v>0</v>
      </c>
      <c r="AY38" s="17" t="s">
        <v>217</v>
      </c>
      <c r="AZ38" s="17" t="s">
        <v>222</v>
      </c>
      <c r="BA38" s="47" t="s">
        <v>224</v>
      </c>
      <c r="BC38" s="14">
        <f t="shared" si="17"/>
        <v>0</v>
      </c>
      <c r="BD38" s="14">
        <f t="shared" si="18"/>
        <v>0</v>
      </c>
      <c r="BE38" s="14">
        <v>0</v>
      </c>
      <c r="BF38" s="14">
        <f>38</f>
        <v>38</v>
      </c>
      <c r="BH38" s="7">
        <f t="shared" si="19"/>
        <v>0</v>
      </c>
      <c r="BI38" s="7">
        <f t="shared" si="20"/>
        <v>0</v>
      </c>
      <c r="BJ38" s="7">
        <f t="shared" si="21"/>
        <v>0</v>
      </c>
      <c r="BK38" s="7" t="s">
        <v>229</v>
      </c>
      <c r="BL38" s="14" t="s">
        <v>68</v>
      </c>
    </row>
    <row r="39" spans="1:64" ht="12.75">
      <c r="A39" s="53" t="s">
        <v>29</v>
      </c>
      <c r="B39" s="53" t="s">
        <v>82</v>
      </c>
      <c r="C39" s="106" t="s">
        <v>141</v>
      </c>
      <c r="D39" s="107"/>
      <c r="E39" s="107"/>
      <c r="F39" s="107"/>
      <c r="G39" s="53" t="s">
        <v>179</v>
      </c>
      <c r="H39" s="7">
        <v>1</v>
      </c>
      <c r="I39" s="48">
        <v>0</v>
      </c>
      <c r="J39" s="7">
        <f t="shared" si="0"/>
        <v>0</v>
      </c>
      <c r="K39" s="7">
        <f t="shared" si="1"/>
        <v>0</v>
      </c>
      <c r="L39" s="7">
        <f t="shared" si="2"/>
        <v>0</v>
      </c>
      <c r="M39" s="15" t="s">
        <v>200</v>
      </c>
      <c r="N39" s="44"/>
      <c r="Z39" s="14">
        <f t="shared" si="3"/>
        <v>0</v>
      </c>
      <c r="AB39" s="14">
        <f t="shared" si="4"/>
        <v>0</v>
      </c>
      <c r="AC39" s="14">
        <f t="shared" si="5"/>
        <v>0</v>
      </c>
      <c r="AD39" s="14">
        <f t="shared" si="6"/>
        <v>0</v>
      </c>
      <c r="AE39" s="14">
        <f t="shared" si="7"/>
        <v>0</v>
      </c>
      <c r="AF39" s="14">
        <f t="shared" si="8"/>
        <v>0</v>
      </c>
      <c r="AG39" s="14">
        <f t="shared" si="9"/>
        <v>0</v>
      </c>
      <c r="AH39" s="14">
        <f t="shared" si="10"/>
        <v>0</v>
      </c>
      <c r="AI39" s="13"/>
      <c r="AJ39" s="7">
        <f t="shared" si="11"/>
        <v>0</v>
      </c>
      <c r="AK39" s="7">
        <f t="shared" si="12"/>
        <v>0</v>
      </c>
      <c r="AL39" s="7">
        <f t="shared" si="13"/>
        <v>0</v>
      </c>
      <c r="AN39" s="14">
        <v>21</v>
      </c>
      <c r="AO39" s="14">
        <f>I39*0.0633973128598848</f>
        <v>0</v>
      </c>
      <c r="AP39" s="14">
        <f>I39*(1-0.0633973128598848)</f>
        <v>0</v>
      </c>
      <c r="AQ39" s="15" t="s">
        <v>8</v>
      </c>
      <c r="AV39" s="14">
        <f t="shared" si="14"/>
        <v>0</v>
      </c>
      <c r="AW39" s="14">
        <f t="shared" si="15"/>
        <v>0</v>
      </c>
      <c r="AX39" s="14">
        <f t="shared" si="16"/>
        <v>0</v>
      </c>
      <c r="AY39" s="17" t="s">
        <v>217</v>
      </c>
      <c r="AZ39" s="17" t="s">
        <v>222</v>
      </c>
      <c r="BA39" s="13" t="s">
        <v>224</v>
      </c>
      <c r="BC39" s="14">
        <f t="shared" si="17"/>
        <v>0</v>
      </c>
      <c r="BD39" s="14">
        <f t="shared" si="18"/>
        <v>0</v>
      </c>
      <c r="BE39" s="14">
        <v>0</v>
      </c>
      <c r="BF39" s="14">
        <f>39</f>
        <v>39</v>
      </c>
      <c r="BH39" s="7">
        <f t="shared" si="19"/>
        <v>0</v>
      </c>
      <c r="BI39" s="7">
        <f t="shared" si="20"/>
        <v>0</v>
      </c>
      <c r="BJ39" s="7">
        <f t="shared" si="21"/>
        <v>0</v>
      </c>
      <c r="BK39" s="7" t="s">
        <v>229</v>
      </c>
      <c r="BL39" s="14" t="s">
        <v>68</v>
      </c>
    </row>
    <row r="40" spans="1:64" ht="12.75">
      <c r="A40" s="53" t="s">
        <v>30</v>
      </c>
      <c r="B40" s="53" t="s">
        <v>83</v>
      </c>
      <c r="C40" s="106" t="s">
        <v>142</v>
      </c>
      <c r="D40" s="107"/>
      <c r="E40" s="107"/>
      <c r="F40" s="107"/>
      <c r="G40" s="53" t="s">
        <v>182</v>
      </c>
      <c r="H40" s="7">
        <v>24749.88</v>
      </c>
      <c r="I40" s="48">
        <v>0</v>
      </c>
      <c r="J40" s="7">
        <f t="shared" si="0"/>
        <v>0</v>
      </c>
      <c r="K40" s="7">
        <f t="shared" si="1"/>
        <v>0</v>
      </c>
      <c r="L40" s="7">
        <f t="shared" si="2"/>
        <v>0</v>
      </c>
      <c r="M40" s="15" t="s">
        <v>200</v>
      </c>
      <c r="N40" s="44"/>
      <c r="Z40" s="14">
        <f t="shared" si="3"/>
        <v>0</v>
      </c>
      <c r="AB40" s="14">
        <f t="shared" si="4"/>
        <v>0</v>
      </c>
      <c r="AC40" s="14">
        <f t="shared" si="5"/>
        <v>0</v>
      </c>
      <c r="AD40" s="14">
        <f t="shared" si="6"/>
        <v>0</v>
      </c>
      <c r="AE40" s="14">
        <f t="shared" si="7"/>
        <v>0</v>
      </c>
      <c r="AF40" s="14">
        <f t="shared" si="8"/>
        <v>0</v>
      </c>
      <c r="AG40" s="14">
        <f t="shared" si="9"/>
        <v>0</v>
      </c>
      <c r="AH40" s="14">
        <f t="shared" si="10"/>
        <v>0</v>
      </c>
      <c r="AI40" s="13"/>
      <c r="AJ40" s="7">
        <f t="shared" si="11"/>
        <v>0</v>
      </c>
      <c r="AK40" s="7">
        <f t="shared" si="12"/>
        <v>0</v>
      </c>
      <c r="AL40" s="7">
        <f t="shared" si="13"/>
        <v>0</v>
      </c>
      <c r="AN40" s="14">
        <v>21</v>
      </c>
      <c r="AO40" s="14">
        <f>I40*0</f>
        <v>0</v>
      </c>
      <c r="AP40" s="14">
        <f>I40*(1-0)</f>
        <v>0</v>
      </c>
      <c r="AQ40" s="15" t="s">
        <v>8</v>
      </c>
      <c r="AV40" s="14">
        <f t="shared" si="14"/>
        <v>0</v>
      </c>
      <c r="AW40" s="14">
        <f t="shared" si="15"/>
        <v>0</v>
      </c>
      <c r="AX40" s="14">
        <f t="shared" si="16"/>
        <v>0</v>
      </c>
      <c r="AY40" s="17" t="s">
        <v>217</v>
      </c>
      <c r="AZ40" s="17" t="s">
        <v>222</v>
      </c>
      <c r="BA40" s="13" t="s">
        <v>224</v>
      </c>
      <c r="BC40" s="14">
        <f t="shared" si="17"/>
        <v>0</v>
      </c>
      <c r="BD40" s="14">
        <f t="shared" si="18"/>
        <v>0</v>
      </c>
      <c r="BE40" s="14">
        <v>0</v>
      </c>
      <c r="BF40" s="14">
        <f>40</f>
        <v>40</v>
      </c>
      <c r="BH40" s="7">
        <f t="shared" si="19"/>
        <v>0</v>
      </c>
      <c r="BI40" s="7">
        <f t="shared" si="20"/>
        <v>0</v>
      </c>
      <c r="BJ40" s="7">
        <f t="shared" si="21"/>
        <v>0</v>
      </c>
      <c r="BK40" s="7" t="s">
        <v>229</v>
      </c>
      <c r="BL40" s="14" t="s">
        <v>68</v>
      </c>
    </row>
    <row r="41" spans="1:64" ht="12.75">
      <c r="A41" s="51" t="s">
        <v>31</v>
      </c>
      <c r="B41" s="51" t="s">
        <v>84</v>
      </c>
      <c r="C41" s="110" t="s">
        <v>143</v>
      </c>
      <c r="D41" s="111"/>
      <c r="E41" s="111"/>
      <c r="F41" s="111"/>
      <c r="G41" s="51" t="s">
        <v>179</v>
      </c>
      <c r="H41" s="8">
        <v>1</v>
      </c>
      <c r="I41" s="49">
        <v>0</v>
      </c>
      <c r="J41" s="8">
        <f t="shared" si="0"/>
        <v>0</v>
      </c>
      <c r="K41" s="8">
        <f t="shared" si="1"/>
        <v>0</v>
      </c>
      <c r="L41" s="8">
        <f t="shared" si="2"/>
        <v>0</v>
      </c>
      <c r="M41" s="16" t="s">
        <v>200</v>
      </c>
      <c r="N41" s="44"/>
      <c r="Z41" s="14">
        <f t="shared" si="3"/>
        <v>0</v>
      </c>
      <c r="AB41" s="14">
        <f t="shared" si="4"/>
        <v>0</v>
      </c>
      <c r="AC41" s="14">
        <f t="shared" si="5"/>
        <v>0</v>
      </c>
      <c r="AD41" s="14">
        <f t="shared" si="6"/>
        <v>0</v>
      </c>
      <c r="AE41" s="14">
        <f t="shared" si="7"/>
        <v>0</v>
      </c>
      <c r="AF41" s="14">
        <f t="shared" si="8"/>
        <v>0</v>
      </c>
      <c r="AG41" s="14">
        <f t="shared" si="9"/>
        <v>0</v>
      </c>
      <c r="AH41" s="14">
        <f t="shared" si="10"/>
        <v>0</v>
      </c>
      <c r="AI41" s="13"/>
      <c r="AJ41" s="8">
        <f t="shared" si="11"/>
        <v>0</v>
      </c>
      <c r="AK41" s="8">
        <f t="shared" si="12"/>
        <v>0</v>
      </c>
      <c r="AL41" s="8">
        <f t="shared" si="13"/>
        <v>0</v>
      </c>
      <c r="AN41" s="14">
        <v>21</v>
      </c>
      <c r="AO41" s="14">
        <f>I41*1</f>
        <v>0</v>
      </c>
      <c r="AP41" s="14">
        <f>I41*(1-1)</f>
        <v>0</v>
      </c>
      <c r="AQ41" s="16" t="s">
        <v>7</v>
      </c>
      <c r="AV41" s="14">
        <f t="shared" si="14"/>
        <v>0</v>
      </c>
      <c r="AW41" s="14">
        <f t="shared" si="15"/>
        <v>0</v>
      </c>
      <c r="AX41" s="14">
        <f t="shared" si="16"/>
        <v>0</v>
      </c>
      <c r="AY41" s="17" t="s">
        <v>217</v>
      </c>
      <c r="AZ41" s="17" t="s">
        <v>222</v>
      </c>
      <c r="BA41" s="13" t="s">
        <v>224</v>
      </c>
      <c r="BC41" s="14">
        <f t="shared" si="17"/>
        <v>0</v>
      </c>
      <c r="BD41" s="14">
        <f t="shared" si="18"/>
        <v>0</v>
      </c>
      <c r="BE41" s="14">
        <v>0</v>
      </c>
      <c r="BF41" s="14">
        <f>41</f>
        <v>41</v>
      </c>
      <c r="BH41" s="8">
        <f t="shared" si="19"/>
        <v>0</v>
      </c>
      <c r="BI41" s="8">
        <f t="shared" si="20"/>
        <v>0</v>
      </c>
      <c r="BJ41" s="8">
        <f t="shared" si="21"/>
        <v>0</v>
      </c>
      <c r="BK41" s="8" t="s">
        <v>230</v>
      </c>
      <c r="BL41" s="14" t="s">
        <v>68</v>
      </c>
    </row>
    <row r="42" spans="1:64" ht="12.75">
      <c r="A42" s="51" t="s">
        <v>32</v>
      </c>
      <c r="B42" s="51" t="s">
        <v>85</v>
      </c>
      <c r="C42" s="110" t="s">
        <v>144</v>
      </c>
      <c r="D42" s="111"/>
      <c r="E42" s="111"/>
      <c r="F42" s="111"/>
      <c r="G42" s="51" t="s">
        <v>180</v>
      </c>
      <c r="H42" s="8">
        <v>27</v>
      </c>
      <c r="I42" s="49">
        <v>0</v>
      </c>
      <c r="J42" s="8">
        <f t="shared" si="0"/>
        <v>0</v>
      </c>
      <c r="K42" s="8">
        <f t="shared" si="1"/>
        <v>0</v>
      </c>
      <c r="L42" s="8">
        <f t="shared" si="2"/>
        <v>0</v>
      </c>
      <c r="M42" s="16"/>
      <c r="N42" s="44"/>
      <c r="Z42" s="14">
        <f t="shared" si="3"/>
        <v>0</v>
      </c>
      <c r="AB42" s="14">
        <f t="shared" si="4"/>
        <v>0</v>
      </c>
      <c r="AC42" s="14">
        <f t="shared" si="5"/>
        <v>0</v>
      </c>
      <c r="AD42" s="14">
        <f t="shared" si="6"/>
        <v>0</v>
      </c>
      <c r="AE42" s="14">
        <f t="shared" si="7"/>
        <v>0</v>
      </c>
      <c r="AF42" s="14">
        <f t="shared" si="8"/>
        <v>0</v>
      </c>
      <c r="AG42" s="14">
        <f t="shared" si="9"/>
        <v>0</v>
      </c>
      <c r="AH42" s="14">
        <f t="shared" si="10"/>
        <v>0</v>
      </c>
      <c r="AI42" s="13"/>
      <c r="AJ42" s="8">
        <f t="shared" si="11"/>
        <v>0</v>
      </c>
      <c r="AK42" s="8">
        <f t="shared" si="12"/>
        <v>0</v>
      </c>
      <c r="AL42" s="8">
        <f t="shared" si="13"/>
        <v>0</v>
      </c>
      <c r="AN42" s="14">
        <v>21</v>
      </c>
      <c r="AO42" s="14">
        <f>I42*1</f>
        <v>0</v>
      </c>
      <c r="AP42" s="14">
        <f>I42*(1-1)</f>
        <v>0</v>
      </c>
      <c r="AQ42" s="16" t="s">
        <v>7</v>
      </c>
      <c r="AV42" s="14">
        <f t="shared" si="14"/>
        <v>0</v>
      </c>
      <c r="AW42" s="14">
        <f t="shared" si="15"/>
        <v>0</v>
      </c>
      <c r="AX42" s="14">
        <f t="shared" si="16"/>
        <v>0</v>
      </c>
      <c r="AY42" s="17" t="s">
        <v>217</v>
      </c>
      <c r="AZ42" s="17" t="s">
        <v>222</v>
      </c>
      <c r="BA42" s="13" t="s">
        <v>224</v>
      </c>
      <c r="BC42" s="14">
        <f t="shared" si="17"/>
        <v>0</v>
      </c>
      <c r="BD42" s="14">
        <f t="shared" si="18"/>
        <v>0</v>
      </c>
      <c r="BE42" s="14">
        <v>0</v>
      </c>
      <c r="BF42" s="14">
        <f>42</f>
        <v>42</v>
      </c>
      <c r="BH42" s="8">
        <f t="shared" si="19"/>
        <v>0</v>
      </c>
      <c r="BI42" s="8">
        <f t="shared" si="20"/>
        <v>0</v>
      </c>
      <c r="BJ42" s="8">
        <f t="shared" si="21"/>
        <v>0</v>
      </c>
      <c r="BK42" s="8" t="s">
        <v>230</v>
      </c>
      <c r="BL42" s="14" t="s">
        <v>68</v>
      </c>
    </row>
    <row r="43" spans="1:47" ht="12.75">
      <c r="A43" s="5"/>
      <c r="B43" s="52" t="s">
        <v>86</v>
      </c>
      <c r="C43" s="108" t="s">
        <v>145</v>
      </c>
      <c r="D43" s="109"/>
      <c r="E43" s="109"/>
      <c r="F43" s="109"/>
      <c r="G43" s="5" t="s">
        <v>6</v>
      </c>
      <c r="H43" s="5" t="s">
        <v>6</v>
      </c>
      <c r="I43" s="5" t="s">
        <v>6</v>
      </c>
      <c r="J43" s="19">
        <f>SUM(J44:J59)</f>
        <v>0</v>
      </c>
      <c r="K43" s="19">
        <f>SUM(K44:K59)</f>
        <v>0</v>
      </c>
      <c r="L43" s="19">
        <f>SUM(L44:L59)</f>
        <v>0</v>
      </c>
      <c r="M43" s="13"/>
      <c r="N43" s="44"/>
      <c r="AI43" s="13"/>
      <c r="AS43" s="19">
        <f>SUM(AJ44:AJ59)</f>
        <v>0</v>
      </c>
      <c r="AT43" s="19">
        <f>SUM(AK44:AK59)</f>
        <v>0</v>
      </c>
      <c r="AU43" s="19">
        <f>SUM(AL44:AL59)</f>
        <v>0</v>
      </c>
    </row>
    <row r="44" spans="1:64" ht="12.75">
      <c r="A44" s="53" t="s">
        <v>33</v>
      </c>
      <c r="B44" s="53" t="s">
        <v>87</v>
      </c>
      <c r="C44" s="106" t="s">
        <v>146</v>
      </c>
      <c r="D44" s="107"/>
      <c r="E44" s="107"/>
      <c r="F44" s="107"/>
      <c r="G44" s="53" t="s">
        <v>176</v>
      </c>
      <c r="H44" s="7">
        <v>358.5</v>
      </c>
      <c r="I44" s="48">
        <v>0</v>
      </c>
      <c r="J44" s="7">
        <f aca="true" t="shared" si="22" ref="J44:J59">H44*AO44</f>
        <v>0</v>
      </c>
      <c r="K44" s="7">
        <f aca="true" t="shared" si="23" ref="K44:K59">H44*AP44</f>
        <v>0</v>
      </c>
      <c r="L44" s="7">
        <f aca="true" t="shared" si="24" ref="L44:L59">H44*I44</f>
        <v>0</v>
      </c>
      <c r="M44" s="15" t="s">
        <v>200</v>
      </c>
      <c r="N44" s="44"/>
      <c r="Z44" s="14">
        <f aca="true" t="shared" si="25" ref="Z44:Z59">IF(AQ44="5",BJ44,0)</f>
        <v>0</v>
      </c>
      <c r="AB44" s="14">
        <f aca="true" t="shared" si="26" ref="AB44:AB59">IF(AQ44="1",BH44,0)</f>
        <v>0</v>
      </c>
      <c r="AC44" s="14">
        <f aca="true" t="shared" si="27" ref="AC44:AC59">IF(AQ44="1",BI44,0)</f>
        <v>0</v>
      </c>
      <c r="AD44" s="14">
        <f aca="true" t="shared" si="28" ref="AD44:AD59">IF(AQ44="7",BH44,0)</f>
        <v>0</v>
      </c>
      <c r="AE44" s="14">
        <f aca="true" t="shared" si="29" ref="AE44:AE59">IF(AQ44="7",BI44,0)</f>
        <v>0</v>
      </c>
      <c r="AF44" s="14">
        <f aca="true" t="shared" si="30" ref="AF44:AF59">IF(AQ44="2",BH44,0)</f>
        <v>0</v>
      </c>
      <c r="AG44" s="14">
        <f aca="true" t="shared" si="31" ref="AG44:AG59">IF(AQ44="2",BI44,0)</f>
        <v>0</v>
      </c>
      <c r="AH44" s="14">
        <f aca="true" t="shared" si="32" ref="AH44:AH59">IF(AQ44="0",BJ44,0)</f>
        <v>0</v>
      </c>
      <c r="AI44" s="13"/>
      <c r="AJ44" s="7">
        <f aca="true" t="shared" si="33" ref="AJ44:AJ59">IF(AN44=0,L44,0)</f>
        <v>0</v>
      </c>
      <c r="AK44" s="7">
        <f aca="true" t="shared" si="34" ref="AK44:AK59">IF(AN44=15,L44,0)</f>
        <v>0</v>
      </c>
      <c r="AL44" s="7">
        <f aca="true" t="shared" si="35" ref="AL44:AL59">IF(AN44=21,L44,0)</f>
        <v>0</v>
      </c>
      <c r="AN44" s="14">
        <v>21</v>
      </c>
      <c r="AO44" s="14">
        <f aca="true" t="shared" si="36" ref="AO44:AO49">I44*0</f>
        <v>0</v>
      </c>
      <c r="AP44" s="14">
        <f aca="true" t="shared" si="37" ref="AP44:AP49">I44*(1-0)</f>
        <v>0</v>
      </c>
      <c r="AQ44" s="15" t="s">
        <v>8</v>
      </c>
      <c r="AV44" s="14">
        <f aca="true" t="shared" si="38" ref="AV44:AV59">AW44+AX44</f>
        <v>0</v>
      </c>
      <c r="AW44" s="14">
        <f aca="true" t="shared" si="39" ref="AW44:AW59">H44*AO44</f>
        <v>0</v>
      </c>
      <c r="AX44" s="14">
        <f aca="true" t="shared" si="40" ref="AX44:AX59">H44*AP44</f>
        <v>0</v>
      </c>
      <c r="AY44" s="17" t="s">
        <v>218</v>
      </c>
      <c r="AZ44" s="17" t="s">
        <v>222</v>
      </c>
      <c r="BA44" s="13" t="s">
        <v>224</v>
      </c>
      <c r="BC44" s="14">
        <f aca="true" t="shared" si="41" ref="BC44:BC59">AW44+AX44</f>
        <v>0</v>
      </c>
      <c r="BD44" s="14">
        <f aca="true" t="shared" si="42" ref="BD44:BD59">I44/(100-BE44)*100</f>
        <v>0</v>
      </c>
      <c r="BE44" s="14">
        <v>0</v>
      </c>
      <c r="BF44" s="14">
        <f>44</f>
        <v>44</v>
      </c>
      <c r="BH44" s="7">
        <f aca="true" t="shared" si="43" ref="BH44:BH59">H44*AO44</f>
        <v>0</v>
      </c>
      <c r="BI44" s="7">
        <f aca="true" t="shared" si="44" ref="BI44:BI59">H44*AP44</f>
        <v>0</v>
      </c>
      <c r="BJ44" s="7">
        <f aca="true" t="shared" si="45" ref="BJ44:BJ59">H44*I44</f>
        <v>0</v>
      </c>
      <c r="BK44" s="7" t="s">
        <v>229</v>
      </c>
      <c r="BL44" s="14" t="s">
        <v>86</v>
      </c>
    </row>
    <row r="45" spans="1:64" ht="12.75">
      <c r="A45" s="53" t="s">
        <v>34</v>
      </c>
      <c r="B45" s="53" t="s">
        <v>88</v>
      </c>
      <c r="C45" s="106" t="s">
        <v>147</v>
      </c>
      <c r="D45" s="107"/>
      <c r="E45" s="107"/>
      <c r="F45" s="107"/>
      <c r="G45" s="53" t="s">
        <v>176</v>
      </c>
      <c r="H45" s="7">
        <v>318</v>
      </c>
      <c r="I45" s="48">
        <v>0</v>
      </c>
      <c r="J45" s="7">
        <f t="shared" si="22"/>
        <v>0</v>
      </c>
      <c r="K45" s="7">
        <f t="shared" si="23"/>
        <v>0</v>
      </c>
      <c r="L45" s="7">
        <f t="shared" si="24"/>
        <v>0</v>
      </c>
      <c r="M45" s="15" t="s">
        <v>200</v>
      </c>
      <c r="N45" s="44"/>
      <c r="Z45" s="14">
        <f t="shared" si="25"/>
        <v>0</v>
      </c>
      <c r="AB45" s="14">
        <f t="shared" si="26"/>
        <v>0</v>
      </c>
      <c r="AC45" s="14">
        <f t="shared" si="27"/>
        <v>0</v>
      </c>
      <c r="AD45" s="14">
        <f t="shared" si="28"/>
        <v>0</v>
      </c>
      <c r="AE45" s="14">
        <f t="shared" si="29"/>
        <v>0</v>
      </c>
      <c r="AF45" s="14">
        <f t="shared" si="30"/>
        <v>0</v>
      </c>
      <c r="AG45" s="14">
        <f t="shared" si="31"/>
        <v>0</v>
      </c>
      <c r="AH45" s="14">
        <f t="shared" si="32"/>
        <v>0</v>
      </c>
      <c r="AI45" s="13"/>
      <c r="AJ45" s="7">
        <f t="shared" si="33"/>
        <v>0</v>
      </c>
      <c r="AK45" s="7">
        <f t="shared" si="34"/>
        <v>0</v>
      </c>
      <c r="AL45" s="7">
        <f t="shared" si="35"/>
        <v>0</v>
      </c>
      <c r="AN45" s="14">
        <v>21</v>
      </c>
      <c r="AO45" s="14">
        <f t="shared" si="36"/>
        <v>0</v>
      </c>
      <c r="AP45" s="14">
        <f t="shared" si="37"/>
        <v>0</v>
      </c>
      <c r="AQ45" s="15" t="s">
        <v>8</v>
      </c>
      <c r="AV45" s="14">
        <f t="shared" si="38"/>
        <v>0</v>
      </c>
      <c r="AW45" s="14">
        <f t="shared" si="39"/>
        <v>0</v>
      </c>
      <c r="AX45" s="14">
        <f t="shared" si="40"/>
        <v>0</v>
      </c>
      <c r="AY45" s="17" t="s">
        <v>218</v>
      </c>
      <c r="AZ45" s="17" t="s">
        <v>222</v>
      </c>
      <c r="BA45" s="13" t="s">
        <v>224</v>
      </c>
      <c r="BC45" s="14">
        <f t="shared" si="41"/>
        <v>0</v>
      </c>
      <c r="BD45" s="14">
        <f t="shared" si="42"/>
        <v>0</v>
      </c>
      <c r="BE45" s="14">
        <v>0</v>
      </c>
      <c r="BF45" s="14">
        <f>45</f>
        <v>45</v>
      </c>
      <c r="BH45" s="7">
        <f t="shared" si="43"/>
        <v>0</v>
      </c>
      <c r="BI45" s="7">
        <f t="shared" si="44"/>
        <v>0</v>
      </c>
      <c r="BJ45" s="7">
        <f t="shared" si="45"/>
        <v>0</v>
      </c>
      <c r="BK45" s="7" t="s">
        <v>229</v>
      </c>
      <c r="BL45" s="14" t="s">
        <v>86</v>
      </c>
    </row>
    <row r="46" spans="1:64" ht="12.75">
      <c r="A46" s="53" t="s">
        <v>35</v>
      </c>
      <c r="B46" s="53" t="s">
        <v>89</v>
      </c>
      <c r="C46" s="106" t="s">
        <v>148</v>
      </c>
      <c r="D46" s="107"/>
      <c r="E46" s="107"/>
      <c r="F46" s="107"/>
      <c r="G46" s="53" t="s">
        <v>176</v>
      </c>
      <c r="H46" s="7">
        <v>326</v>
      </c>
      <c r="I46" s="48">
        <v>0</v>
      </c>
      <c r="J46" s="7">
        <f t="shared" si="22"/>
        <v>0</v>
      </c>
      <c r="K46" s="7">
        <f t="shared" si="23"/>
        <v>0</v>
      </c>
      <c r="L46" s="7">
        <f t="shared" si="24"/>
        <v>0</v>
      </c>
      <c r="M46" s="15" t="s">
        <v>200</v>
      </c>
      <c r="N46" s="44"/>
      <c r="Z46" s="14">
        <f t="shared" si="25"/>
        <v>0</v>
      </c>
      <c r="AB46" s="14">
        <f t="shared" si="26"/>
        <v>0</v>
      </c>
      <c r="AC46" s="14">
        <f t="shared" si="27"/>
        <v>0</v>
      </c>
      <c r="AD46" s="14">
        <f t="shared" si="28"/>
        <v>0</v>
      </c>
      <c r="AE46" s="14">
        <f t="shared" si="29"/>
        <v>0</v>
      </c>
      <c r="AF46" s="14">
        <f t="shared" si="30"/>
        <v>0</v>
      </c>
      <c r="AG46" s="14">
        <f t="shared" si="31"/>
        <v>0</v>
      </c>
      <c r="AH46" s="14">
        <f t="shared" si="32"/>
        <v>0</v>
      </c>
      <c r="AI46" s="13"/>
      <c r="AJ46" s="7">
        <f t="shared" si="33"/>
        <v>0</v>
      </c>
      <c r="AK46" s="7">
        <f t="shared" si="34"/>
        <v>0</v>
      </c>
      <c r="AL46" s="7">
        <f t="shared" si="35"/>
        <v>0</v>
      </c>
      <c r="AN46" s="14">
        <v>21</v>
      </c>
      <c r="AO46" s="14">
        <f t="shared" si="36"/>
        <v>0</v>
      </c>
      <c r="AP46" s="14">
        <f t="shared" si="37"/>
        <v>0</v>
      </c>
      <c r="AQ46" s="15" t="s">
        <v>8</v>
      </c>
      <c r="AV46" s="14">
        <f t="shared" si="38"/>
        <v>0</v>
      </c>
      <c r="AW46" s="14">
        <f t="shared" si="39"/>
        <v>0</v>
      </c>
      <c r="AX46" s="14">
        <f t="shared" si="40"/>
        <v>0</v>
      </c>
      <c r="AY46" s="17" t="s">
        <v>218</v>
      </c>
      <c r="AZ46" s="17" t="s">
        <v>222</v>
      </c>
      <c r="BA46" s="13" t="s">
        <v>224</v>
      </c>
      <c r="BC46" s="14">
        <f t="shared" si="41"/>
        <v>0</v>
      </c>
      <c r="BD46" s="14">
        <f t="shared" si="42"/>
        <v>0</v>
      </c>
      <c r="BE46" s="14">
        <v>0</v>
      </c>
      <c r="BF46" s="14">
        <f>46</f>
        <v>46</v>
      </c>
      <c r="BH46" s="7">
        <f t="shared" si="43"/>
        <v>0</v>
      </c>
      <c r="BI46" s="7">
        <f t="shared" si="44"/>
        <v>0</v>
      </c>
      <c r="BJ46" s="7">
        <f t="shared" si="45"/>
        <v>0</v>
      </c>
      <c r="BK46" s="7" t="s">
        <v>229</v>
      </c>
      <c r="BL46" s="14" t="s">
        <v>86</v>
      </c>
    </row>
    <row r="47" spans="1:64" ht="12.75">
      <c r="A47" s="53" t="s">
        <v>36</v>
      </c>
      <c r="B47" s="53" t="s">
        <v>90</v>
      </c>
      <c r="C47" s="106" t="s">
        <v>149</v>
      </c>
      <c r="D47" s="107"/>
      <c r="E47" s="107"/>
      <c r="F47" s="107"/>
      <c r="G47" s="53" t="s">
        <v>176</v>
      </c>
      <c r="H47" s="7">
        <v>358.5</v>
      </c>
      <c r="I47" s="48">
        <v>0</v>
      </c>
      <c r="J47" s="7">
        <f t="shared" si="22"/>
        <v>0</v>
      </c>
      <c r="K47" s="7">
        <f t="shared" si="23"/>
        <v>0</v>
      </c>
      <c r="L47" s="7">
        <f t="shared" si="24"/>
        <v>0</v>
      </c>
      <c r="M47" s="15" t="s">
        <v>200</v>
      </c>
      <c r="N47" s="44"/>
      <c r="Z47" s="14">
        <f t="shared" si="25"/>
        <v>0</v>
      </c>
      <c r="AB47" s="14">
        <f t="shared" si="26"/>
        <v>0</v>
      </c>
      <c r="AC47" s="14">
        <f t="shared" si="27"/>
        <v>0</v>
      </c>
      <c r="AD47" s="14">
        <f t="shared" si="28"/>
        <v>0</v>
      </c>
      <c r="AE47" s="14">
        <f t="shared" si="29"/>
        <v>0</v>
      </c>
      <c r="AF47" s="14">
        <f t="shared" si="30"/>
        <v>0</v>
      </c>
      <c r="AG47" s="14">
        <f t="shared" si="31"/>
        <v>0</v>
      </c>
      <c r="AH47" s="14">
        <f t="shared" si="32"/>
        <v>0</v>
      </c>
      <c r="AI47" s="13"/>
      <c r="AJ47" s="7">
        <f t="shared" si="33"/>
        <v>0</v>
      </c>
      <c r="AK47" s="7">
        <f t="shared" si="34"/>
        <v>0</v>
      </c>
      <c r="AL47" s="7">
        <f t="shared" si="35"/>
        <v>0</v>
      </c>
      <c r="AN47" s="14">
        <v>21</v>
      </c>
      <c r="AO47" s="14">
        <f t="shared" si="36"/>
        <v>0</v>
      </c>
      <c r="AP47" s="14">
        <f t="shared" si="37"/>
        <v>0</v>
      </c>
      <c r="AQ47" s="15" t="s">
        <v>8</v>
      </c>
      <c r="AV47" s="14">
        <f t="shared" si="38"/>
        <v>0</v>
      </c>
      <c r="AW47" s="14">
        <f t="shared" si="39"/>
        <v>0</v>
      </c>
      <c r="AX47" s="14">
        <f t="shared" si="40"/>
        <v>0</v>
      </c>
      <c r="AY47" s="17" t="s">
        <v>218</v>
      </c>
      <c r="AZ47" s="17" t="s">
        <v>222</v>
      </c>
      <c r="BA47" s="13" t="s">
        <v>224</v>
      </c>
      <c r="BC47" s="14">
        <f t="shared" si="41"/>
        <v>0</v>
      </c>
      <c r="BD47" s="14">
        <f t="shared" si="42"/>
        <v>0</v>
      </c>
      <c r="BE47" s="14">
        <v>0</v>
      </c>
      <c r="BF47" s="14">
        <f>47</f>
        <v>47</v>
      </c>
      <c r="BH47" s="7">
        <f t="shared" si="43"/>
        <v>0</v>
      </c>
      <c r="BI47" s="7">
        <f t="shared" si="44"/>
        <v>0</v>
      </c>
      <c r="BJ47" s="7">
        <f t="shared" si="45"/>
        <v>0</v>
      </c>
      <c r="BK47" s="7" t="s">
        <v>229</v>
      </c>
      <c r="BL47" s="14" t="s">
        <v>86</v>
      </c>
    </row>
    <row r="48" spans="1:64" ht="12.75">
      <c r="A48" s="53" t="s">
        <v>37</v>
      </c>
      <c r="B48" s="53" t="s">
        <v>91</v>
      </c>
      <c r="C48" s="106" t="s">
        <v>150</v>
      </c>
      <c r="D48" s="107"/>
      <c r="E48" s="107"/>
      <c r="F48" s="107"/>
      <c r="G48" s="53" t="s">
        <v>176</v>
      </c>
      <c r="H48" s="7">
        <v>318</v>
      </c>
      <c r="I48" s="48">
        <v>0</v>
      </c>
      <c r="J48" s="7">
        <f t="shared" si="22"/>
        <v>0</v>
      </c>
      <c r="K48" s="7">
        <f t="shared" si="23"/>
        <v>0</v>
      </c>
      <c r="L48" s="7">
        <f t="shared" si="24"/>
        <v>0</v>
      </c>
      <c r="M48" s="15" t="s">
        <v>200</v>
      </c>
      <c r="N48" s="44"/>
      <c r="Z48" s="14">
        <f t="shared" si="25"/>
        <v>0</v>
      </c>
      <c r="AB48" s="14">
        <f t="shared" si="26"/>
        <v>0</v>
      </c>
      <c r="AC48" s="14">
        <f t="shared" si="27"/>
        <v>0</v>
      </c>
      <c r="AD48" s="14">
        <f t="shared" si="28"/>
        <v>0</v>
      </c>
      <c r="AE48" s="14">
        <f t="shared" si="29"/>
        <v>0</v>
      </c>
      <c r="AF48" s="14">
        <f t="shared" si="30"/>
        <v>0</v>
      </c>
      <c r="AG48" s="14">
        <f t="shared" si="31"/>
        <v>0</v>
      </c>
      <c r="AH48" s="14">
        <f t="shared" si="32"/>
        <v>0</v>
      </c>
      <c r="AI48" s="13"/>
      <c r="AJ48" s="7">
        <f t="shared" si="33"/>
        <v>0</v>
      </c>
      <c r="AK48" s="7">
        <f t="shared" si="34"/>
        <v>0</v>
      </c>
      <c r="AL48" s="7">
        <f t="shared" si="35"/>
        <v>0</v>
      </c>
      <c r="AN48" s="14">
        <v>21</v>
      </c>
      <c r="AO48" s="14">
        <f t="shared" si="36"/>
        <v>0</v>
      </c>
      <c r="AP48" s="14">
        <f t="shared" si="37"/>
        <v>0</v>
      </c>
      <c r="AQ48" s="15" t="s">
        <v>8</v>
      </c>
      <c r="AV48" s="14">
        <f t="shared" si="38"/>
        <v>0</v>
      </c>
      <c r="AW48" s="14">
        <f t="shared" si="39"/>
        <v>0</v>
      </c>
      <c r="AX48" s="14">
        <f t="shared" si="40"/>
        <v>0</v>
      </c>
      <c r="AY48" s="17" t="s">
        <v>218</v>
      </c>
      <c r="AZ48" s="17" t="s">
        <v>222</v>
      </c>
      <c r="BA48" s="13" t="s">
        <v>224</v>
      </c>
      <c r="BC48" s="14">
        <f t="shared" si="41"/>
        <v>0</v>
      </c>
      <c r="BD48" s="14">
        <f t="shared" si="42"/>
        <v>0</v>
      </c>
      <c r="BE48" s="14">
        <v>0</v>
      </c>
      <c r="BF48" s="14">
        <f>48</f>
        <v>48</v>
      </c>
      <c r="BH48" s="7">
        <f t="shared" si="43"/>
        <v>0</v>
      </c>
      <c r="BI48" s="7">
        <f t="shared" si="44"/>
        <v>0</v>
      </c>
      <c r="BJ48" s="7">
        <f t="shared" si="45"/>
        <v>0</v>
      </c>
      <c r="BK48" s="7" t="s">
        <v>229</v>
      </c>
      <c r="BL48" s="14" t="s">
        <v>86</v>
      </c>
    </row>
    <row r="49" spans="1:64" ht="12.75">
      <c r="A49" s="53" t="s">
        <v>38</v>
      </c>
      <c r="B49" s="53" t="s">
        <v>92</v>
      </c>
      <c r="C49" s="106" t="s">
        <v>151</v>
      </c>
      <c r="D49" s="107"/>
      <c r="E49" s="107"/>
      <c r="F49" s="107"/>
      <c r="G49" s="53" t="s">
        <v>176</v>
      </c>
      <c r="H49" s="7">
        <v>326</v>
      </c>
      <c r="I49" s="48">
        <v>0</v>
      </c>
      <c r="J49" s="7">
        <f t="shared" si="22"/>
        <v>0</v>
      </c>
      <c r="K49" s="7">
        <f t="shared" si="23"/>
        <v>0</v>
      </c>
      <c r="L49" s="7">
        <f t="shared" si="24"/>
        <v>0</v>
      </c>
      <c r="M49" s="15" t="s">
        <v>200</v>
      </c>
      <c r="N49" s="44"/>
      <c r="Z49" s="14">
        <f t="shared" si="25"/>
        <v>0</v>
      </c>
      <c r="AB49" s="14">
        <f t="shared" si="26"/>
        <v>0</v>
      </c>
      <c r="AC49" s="14">
        <f t="shared" si="27"/>
        <v>0</v>
      </c>
      <c r="AD49" s="14">
        <f t="shared" si="28"/>
        <v>0</v>
      </c>
      <c r="AE49" s="14">
        <f t="shared" si="29"/>
        <v>0</v>
      </c>
      <c r="AF49" s="14">
        <f t="shared" si="30"/>
        <v>0</v>
      </c>
      <c r="AG49" s="14">
        <f t="shared" si="31"/>
        <v>0</v>
      </c>
      <c r="AH49" s="14">
        <f t="shared" si="32"/>
        <v>0</v>
      </c>
      <c r="AI49" s="13"/>
      <c r="AJ49" s="7">
        <f t="shared" si="33"/>
        <v>0</v>
      </c>
      <c r="AK49" s="7">
        <f t="shared" si="34"/>
        <v>0</v>
      </c>
      <c r="AL49" s="7">
        <f t="shared" si="35"/>
        <v>0</v>
      </c>
      <c r="AN49" s="14">
        <v>21</v>
      </c>
      <c r="AO49" s="14">
        <f t="shared" si="36"/>
        <v>0</v>
      </c>
      <c r="AP49" s="14">
        <f t="shared" si="37"/>
        <v>0</v>
      </c>
      <c r="AQ49" s="15" t="s">
        <v>8</v>
      </c>
      <c r="AV49" s="14">
        <f t="shared" si="38"/>
        <v>0</v>
      </c>
      <c r="AW49" s="14">
        <f t="shared" si="39"/>
        <v>0</v>
      </c>
      <c r="AX49" s="14">
        <f t="shared" si="40"/>
        <v>0</v>
      </c>
      <c r="AY49" s="17" t="s">
        <v>218</v>
      </c>
      <c r="AZ49" s="17" t="s">
        <v>222</v>
      </c>
      <c r="BA49" s="13" t="s">
        <v>224</v>
      </c>
      <c r="BC49" s="14">
        <f t="shared" si="41"/>
        <v>0</v>
      </c>
      <c r="BD49" s="14">
        <f t="shared" si="42"/>
        <v>0</v>
      </c>
      <c r="BE49" s="14">
        <v>0</v>
      </c>
      <c r="BF49" s="14">
        <f>49</f>
        <v>49</v>
      </c>
      <c r="BH49" s="7">
        <f t="shared" si="43"/>
        <v>0</v>
      </c>
      <c r="BI49" s="7">
        <f t="shared" si="44"/>
        <v>0</v>
      </c>
      <c r="BJ49" s="7">
        <f t="shared" si="45"/>
        <v>0</v>
      </c>
      <c r="BK49" s="7" t="s">
        <v>229</v>
      </c>
      <c r="BL49" s="14" t="s">
        <v>86</v>
      </c>
    </row>
    <row r="50" spans="1:64" ht="12.75">
      <c r="A50" s="53" t="s">
        <v>39</v>
      </c>
      <c r="B50" s="53" t="s">
        <v>93</v>
      </c>
      <c r="C50" s="106" t="s">
        <v>152</v>
      </c>
      <c r="D50" s="107"/>
      <c r="E50" s="107"/>
      <c r="F50" s="107"/>
      <c r="G50" s="53" t="s">
        <v>176</v>
      </c>
      <c r="H50" s="7">
        <v>100</v>
      </c>
      <c r="I50" s="48">
        <v>0</v>
      </c>
      <c r="J50" s="7">
        <f t="shared" si="22"/>
        <v>0</v>
      </c>
      <c r="K50" s="7">
        <f t="shared" si="23"/>
        <v>0</v>
      </c>
      <c r="L50" s="7">
        <f t="shared" si="24"/>
        <v>0</v>
      </c>
      <c r="M50" s="15" t="s">
        <v>200</v>
      </c>
      <c r="N50" s="44"/>
      <c r="Z50" s="14">
        <f t="shared" si="25"/>
        <v>0</v>
      </c>
      <c r="AB50" s="14">
        <f t="shared" si="26"/>
        <v>0</v>
      </c>
      <c r="AC50" s="14">
        <f t="shared" si="27"/>
        <v>0</v>
      </c>
      <c r="AD50" s="14">
        <f t="shared" si="28"/>
        <v>0</v>
      </c>
      <c r="AE50" s="14">
        <f t="shared" si="29"/>
        <v>0</v>
      </c>
      <c r="AF50" s="14">
        <f t="shared" si="30"/>
        <v>0</v>
      </c>
      <c r="AG50" s="14">
        <f t="shared" si="31"/>
        <v>0</v>
      </c>
      <c r="AH50" s="14">
        <f t="shared" si="32"/>
        <v>0</v>
      </c>
      <c r="AI50" s="13"/>
      <c r="AJ50" s="7">
        <f t="shared" si="33"/>
        <v>0</v>
      </c>
      <c r="AK50" s="7">
        <f t="shared" si="34"/>
        <v>0</v>
      </c>
      <c r="AL50" s="7">
        <f t="shared" si="35"/>
        <v>0</v>
      </c>
      <c r="AN50" s="14">
        <v>21</v>
      </c>
      <c r="AO50" s="14">
        <f>I50*0.614285714285714</f>
        <v>0</v>
      </c>
      <c r="AP50" s="14">
        <f>I50*(1-0.614285714285714)</f>
        <v>0</v>
      </c>
      <c r="AQ50" s="15" t="s">
        <v>8</v>
      </c>
      <c r="AV50" s="14">
        <f t="shared" si="38"/>
        <v>0</v>
      </c>
      <c r="AW50" s="14">
        <f t="shared" si="39"/>
        <v>0</v>
      </c>
      <c r="AX50" s="14">
        <f t="shared" si="40"/>
        <v>0</v>
      </c>
      <c r="AY50" s="17" t="s">
        <v>218</v>
      </c>
      <c r="AZ50" s="17" t="s">
        <v>222</v>
      </c>
      <c r="BA50" s="13" t="s">
        <v>224</v>
      </c>
      <c r="BC50" s="14">
        <f t="shared" si="41"/>
        <v>0</v>
      </c>
      <c r="BD50" s="14">
        <f t="shared" si="42"/>
        <v>0</v>
      </c>
      <c r="BE50" s="14">
        <v>0</v>
      </c>
      <c r="BF50" s="14">
        <f>50</f>
        <v>50</v>
      </c>
      <c r="BH50" s="7">
        <f t="shared" si="43"/>
        <v>0</v>
      </c>
      <c r="BI50" s="7">
        <f t="shared" si="44"/>
        <v>0</v>
      </c>
      <c r="BJ50" s="7">
        <f t="shared" si="45"/>
        <v>0</v>
      </c>
      <c r="BK50" s="7" t="s">
        <v>229</v>
      </c>
      <c r="BL50" s="14" t="s">
        <v>86</v>
      </c>
    </row>
    <row r="51" spans="1:64" ht="12.75">
      <c r="A51" s="53" t="s">
        <v>40</v>
      </c>
      <c r="B51" s="53" t="s">
        <v>94</v>
      </c>
      <c r="C51" s="106" t="s">
        <v>153</v>
      </c>
      <c r="D51" s="107"/>
      <c r="E51" s="107"/>
      <c r="F51" s="107"/>
      <c r="G51" s="53" t="s">
        <v>176</v>
      </c>
      <c r="H51" s="7">
        <v>1002</v>
      </c>
      <c r="I51" s="48">
        <v>0</v>
      </c>
      <c r="J51" s="7">
        <f t="shared" si="22"/>
        <v>0</v>
      </c>
      <c r="K51" s="7">
        <f t="shared" si="23"/>
        <v>0</v>
      </c>
      <c r="L51" s="7">
        <f t="shared" si="24"/>
        <v>0</v>
      </c>
      <c r="M51" s="15" t="s">
        <v>200</v>
      </c>
      <c r="N51" s="44"/>
      <c r="Z51" s="14">
        <f t="shared" si="25"/>
        <v>0</v>
      </c>
      <c r="AB51" s="14">
        <f t="shared" si="26"/>
        <v>0</v>
      </c>
      <c r="AC51" s="14">
        <f t="shared" si="27"/>
        <v>0</v>
      </c>
      <c r="AD51" s="14">
        <f t="shared" si="28"/>
        <v>0</v>
      </c>
      <c r="AE51" s="14">
        <f t="shared" si="29"/>
        <v>0</v>
      </c>
      <c r="AF51" s="14">
        <f t="shared" si="30"/>
        <v>0</v>
      </c>
      <c r="AG51" s="14">
        <f t="shared" si="31"/>
        <v>0</v>
      </c>
      <c r="AH51" s="14">
        <f t="shared" si="32"/>
        <v>0</v>
      </c>
      <c r="AI51" s="13"/>
      <c r="AJ51" s="7">
        <f t="shared" si="33"/>
        <v>0</v>
      </c>
      <c r="AK51" s="7">
        <f t="shared" si="34"/>
        <v>0</v>
      </c>
      <c r="AL51" s="7">
        <f t="shared" si="35"/>
        <v>0</v>
      </c>
      <c r="AN51" s="14">
        <v>21</v>
      </c>
      <c r="AO51" s="14">
        <f>I51*0.368361581920904</f>
        <v>0</v>
      </c>
      <c r="AP51" s="14">
        <f>I51*(1-0.368361581920904)</f>
        <v>0</v>
      </c>
      <c r="AQ51" s="15" t="s">
        <v>8</v>
      </c>
      <c r="AV51" s="14">
        <f t="shared" si="38"/>
        <v>0</v>
      </c>
      <c r="AW51" s="14">
        <f t="shared" si="39"/>
        <v>0</v>
      </c>
      <c r="AX51" s="14">
        <f t="shared" si="40"/>
        <v>0</v>
      </c>
      <c r="AY51" s="17" t="s">
        <v>218</v>
      </c>
      <c r="AZ51" s="17" t="s">
        <v>222</v>
      </c>
      <c r="BA51" s="13" t="s">
        <v>224</v>
      </c>
      <c r="BC51" s="14">
        <f t="shared" si="41"/>
        <v>0</v>
      </c>
      <c r="BD51" s="14">
        <f t="shared" si="42"/>
        <v>0</v>
      </c>
      <c r="BE51" s="14">
        <v>0</v>
      </c>
      <c r="BF51" s="14">
        <f>51</f>
        <v>51</v>
      </c>
      <c r="BH51" s="7">
        <f t="shared" si="43"/>
        <v>0</v>
      </c>
      <c r="BI51" s="7">
        <f t="shared" si="44"/>
        <v>0</v>
      </c>
      <c r="BJ51" s="7">
        <f t="shared" si="45"/>
        <v>0</v>
      </c>
      <c r="BK51" s="7" t="s">
        <v>229</v>
      </c>
      <c r="BL51" s="14" t="s">
        <v>86</v>
      </c>
    </row>
    <row r="52" spans="1:64" s="46" customFormat="1" ht="12.75">
      <c r="A52" s="53" t="s">
        <v>41</v>
      </c>
      <c r="B52" s="53" t="s">
        <v>95</v>
      </c>
      <c r="C52" s="106" t="s">
        <v>154</v>
      </c>
      <c r="D52" s="107"/>
      <c r="E52" s="107"/>
      <c r="F52" s="107"/>
      <c r="G52" s="53" t="s">
        <v>181</v>
      </c>
      <c r="H52" s="7">
        <v>58.5</v>
      </c>
      <c r="I52" s="48">
        <v>0</v>
      </c>
      <c r="J52" s="7">
        <f t="shared" si="22"/>
        <v>0</v>
      </c>
      <c r="K52" s="7">
        <f t="shared" si="23"/>
        <v>0</v>
      </c>
      <c r="L52" s="7">
        <f t="shared" si="24"/>
        <v>0</v>
      </c>
      <c r="M52" s="15" t="s">
        <v>200</v>
      </c>
      <c r="N52" s="44"/>
      <c r="Z52" s="14">
        <f t="shared" si="25"/>
        <v>0</v>
      </c>
      <c r="AB52" s="14">
        <f t="shared" si="26"/>
        <v>0</v>
      </c>
      <c r="AC52" s="14">
        <f t="shared" si="27"/>
        <v>0</v>
      </c>
      <c r="AD52" s="14">
        <f t="shared" si="28"/>
        <v>0</v>
      </c>
      <c r="AE52" s="14">
        <f t="shared" si="29"/>
        <v>0</v>
      </c>
      <c r="AF52" s="14">
        <f t="shared" si="30"/>
        <v>0</v>
      </c>
      <c r="AG52" s="14">
        <f t="shared" si="31"/>
        <v>0</v>
      </c>
      <c r="AH52" s="14">
        <f t="shared" si="32"/>
        <v>0</v>
      </c>
      <c r="AI52" s="47"/>
      <c r="AJ52" s="7">
        <f t="shared" si="33"/>
        <v>0</v>
      </c>
      <c r="AK52" s="7">
        <f t="shared" si="34"/>
        <v>0</v>
      </c>
      <c r="AL52" s="7">
        <f t="shared" si="35"/>
        <v>0</v>
      </c>
      <c r="AN52" s="14">
        <v>21</v>
      </c>
      <c r="AO52" s="14">
        <f>I52*0</f>
        <v>0</v>
      </c>
      <c r="AP52" s="14">
        <f>I52*(1-0)</f>
        <v>0</v>
      </c>
      <c r="AQ52" s="15" t="s">
        <v>8</v>
      </c>
      <c r="AV52" s="14">
        <f t="shared" si="38"/>
        <v>0</v>
      </c>
      <c r="AW52" s="14">
        <f t="shared" si="39"/>
        <v>0</v>
      </c>
      <c r="AX52" s="14">
        <f t="shared" si="40"/>
        <v>0</v>
      </c>
      <c r="AY52" s="17" t="s">
        <v>218</v>
      </c>
      <c r="AZ52" s="17" t="s">
        <v>222</v>
      </c>
      <c r="BA52" s="47" t="s">
        <v>224</v>
      </c>
      <c r="BC52" s="14">
        <f t="shared" si="41"/>
        <v>0</v>
      </c>
      <c r="BD52" s="14">
        <f t="shared" si="42"/>
        <v>0</v>
      </c>
      <c r="BE52" s="14">
        <v>0</v>
      </c>
      <c r="BF52" s="14">
        <f>52</f>
        <v>52</v>
      </c>
      <c r="BH52" s="7">
        <f t="shared" si="43"/>
        <v>0</v>
      </c>
      <c r="BI52" s="7">
        <f t="shared" si="44"/>
        <v>0</v>
      </c>
      <c r="BJ52" s="7">
        <f t="shared" si="45"/>
        <v>0</v>
      </c>
      <c r="BK52" s="7" t="s">
        <v>229</v>
      </c>
      <c r="BL52" s="14" t="s">
        <v>86</v>
      </c>
    </row>
    <row r="53" spans="1:64" s="46" customFormat="1" ht="12.75">
      <c r="A53" s="53" t="s">
        <v>42</v>
      </c>
      <c r="B53" s="53" t="s">
        <v>96</v>
      </c>
      <c r="C53" s="106" t="s">
        <v>155</v>
      </c>
      <c r="D53" s="107"/>
      <c r="E53" s="107"/>
      <c r="F53" s="107"/>
      <c r="G53" s="53" t="s">
        <v>181</v>
      </c>
      <c r="H53" s="7">
        <v>30</v>
      </c>
      <c r="I53" s="48">
        <v>0</v>
      </c>
      <c r="J53" s="7">
        <f t="shared" si="22"/>
        <v>0</v>
      </c>
      <c r="K53" s="7">
        <f t="shared" si="23"/>
        <v>0</v>
      </c>
      <c r="L53" s="7">
        <f t="shared" si="24"/>
        <v>0</v>
      </c>
      <c r="M53" s="15" t="s">
        <v>200</v>
      </c>
      <c r="N53" s="44"/>
      <c r="Z53" s="14">
        <f t="shared" si="25"/>
        <v>0</v>
      </c>
      <c r="AB53" s="14">
        <f t="shared" si="26"/>
        <v>0</v>
      </c>
      <c r="AC53" s="14">
        <f t="shared" si="27"/>
        <v>0</v>
      </c>
      <c r="AD53" s="14">
        <f t="shared" si="28"/>
        <v>0</v>
      </c>
      <c r="AE53" s="14">
        <f t="shared" si="29"/>
        <v>0</v>
      </c>
      <c r="AF53" s="14">
        <f t="shared" si="30"/>
        <v>0</v>
      </c>
      <c r="AG53" s="14">
        <f t="shared" si="31"/>
        <v>0</v>
      </c>
      <c r="AH53" s="14">
        <f t="shared" si="32"/>
        <v>0</v>
      </c>
      <c r="AI53" s="47"/>
      <c r="AJ53" s="7">
        <f t="shared" si="33"/>
        <v>0</v>
      </c>
      <c r="AK53" s="7">
        <f t="shared" si="34"/>
        <v>0</v>
      </c>
      <c r="AL53" s="7">
        <f t="shared" si="35"/>
        <v>0</v>
      </c>
      <c r="AN53" s="14">
        <v>21</v>
      </c>
      <c r="AO53" s="14">
        <f>I53*0.589</f>
        <v>0</v>
      </c>
      <c r="AP53" s="14">
        <f>I53*(1-0.589)</f>
        <v>0</v>
      </c>
      <c r="AQ53" s="15" t="s">
        <v>8</v>
      </c>
      <c r="AV53" s="14">
        <f t="shared" si="38"/>
        <v>0</v>
      </c>
      <c r="AW53" s="14">
        <f t="shared" si="39"/>
        <v>0</v>
      </c>
      <c r="AX53" s="14">
        <f t="shared" si="40"/>
        <v>0</v>
      </c>
      <c r="AY53" s="17" t="s">
        <v>218</v>
      </c>
      <c r="AZ53" s="17" t="s">
        <v>222</v>
      </c>
      <c r="BA53" s="47" t="s">
        <v>224</v>
      </c>
      <c r="BC53" s="14">
        <f t="shared" si="41"/>
        <v>0</v>
      </c>
      <c r="BD53" s="14">
        <f t="shared" si="42"/>
        <v>0</v>
      </c>
      <c r="BE53" s="14">
        <v>0</v>
      </c>
      <c r="BF53" s="14">
        <f>53</f>
        <v>53</v>
      </c>
      <c r="BH53" s="7">
        <f t="shared" si="43"/>
        <v>0</v>
      </c>
      <c r="BI53" s="7">
        <f t="shared" si="44"/>
        <v>0</v>
      </c>
      <c r="BJ53" s="7">
        <f t="shared" si="45"/>
        <v>0</v>
      </c>
      <c r="BK53" s="7" t="s">
        <v>229</v>
      </c>
      <c r="BL53" s="14" t="s">
        <v>86</v>
      </c>
    </row>
    <row r="54" spans="1:64" s="46" customFormat="1" ht="12.75">
      <c r="A54" s="53" t="s">
        <v>43</v>
      </c>
      <c r="B54" s="53" t="s">
        <v>97</v>
      </c>
      <c r="C54" s="106" t="s">
        <v>156</v>
      </c>
      <c r="D54" s="107"/>
      <c r="E54" s="107"/>
      <c r="F54" s="107"/>
      <c r="G54" s="53" t="s">
        <v>181</v>
      </c>
      <c r="H54" s="7">
        <v>28.5</v>
      </c>
      <c r="I54" s="48">
        <v>0</v>
      </c>
      <c r="J54" s="7">
        <f t="shared" si="22"/>
        <v>0</v>
      </c>
      <c r="K54" s="7">
        <f t="shared" si="23"/>
        <v>0</v>
      </c>
      <c r="L54" s="7">
        <f t="shared" si="24"/>
        <v>0</v>
      </c>
      <c r="M54" s="15" t="s">
        <v>200</v>
      </c>
      <c r="N54" s="44"/>
      <c r="Z54" s="14">
        <f t="shared" si="25"/>
        <v>0</v>
      </c>
      <c r="AB54" s="14">
        <f t="shared" si="26"/>
        <v>0</v>
      </c>
      <c r="AC54" s="14">
        <f t="shared" si="27"/>
        <v>0</v>
      </c>
      <c r="AD54" s="14">
        <f t="shared" si="28"/>
        <v>0</v>
      </c>
      <c r="AE54" s="14">
        <f t="shared" si="29"/>
        <v>0</v>
      </c>
      <c r="AF54" s="14">
        <f t="shared" si="30"/>
        <v>0</v>
      </c>
      <c r="AG54" s="14">
        <f t="shared" si="31"/>
        <v>0</v>
      </c>
      <c r="AH54" s="14">
        <f t="shared" si="32"/>
        <v>0</v>
      </c>
      <c r="AI54" s="47"/>
      <c r="AJ54" s="7">
        <f t="shared" si="33"/>
        <v>0</v>
      </c>
      <c r="AK54" s="7">
        <f t="shared" si="34"/>
        <v>0</v>
      </c>
      <c r="AL54" s="7">
        <f t="shared" si="35"/>
        <v>0</v>
      </c>
      <c r="AN54" s="14">
        <v>21</v>
      </c>
      <c r="AO54" s="14">
        <f>I54*0.139371018518061</f>
        <v>0</v>
      </c>
      <c r="AP54" s="14">
        <f>I54*(1-0.139371018518061)</f>
        <v>0</v>
      </c>
      <c r="AQ54" s="15" t="s">
        <v>8</v>
      </c>
      <c r="AV54" s="14">
        <f t="shared" si="38"/>
        <v>0</v>
      </c>
      <c r="AW54" s="14">
        <f t="shared" si="39"/>
        <v>0</v>
      </c>
      <c r="AX54" s="14">
        <f t="shared" si="40"/>
        <v>0</v>
      </c>
      <c r="AY54" s="17" t="s">
        <v>218</v>
      </c>
      <c r="AZ54" s="17" t="s">
        <v>222</v>
      </c>
      <c r="BA54" s="47" t="s">
        <v>224</v>
      </c>
      <c r="BC54" s="14">
        <f t="shared" si="41"/>
        <v>0</v>
      </c>
      <c r="BD54" s="14">
        <f t="shared" si="42"/>
        <v>0</v>
      </c>
      <c r="BE54" s="14">
        <v>0</v>
      </c>
      <c r="BF54" s="14">
        <f>54</f>
        <v>54</v>
      </c>
      <c r="BH54" s="7">
        <f t="shared" si="43"/>
        <v>0</v>
      </c>
      <c r="BI54" s="7">
        <f t="shared" si="44"/>
        <v>0</v>
      </c>
      <c r="BJ54" s="7">
        <f t="shared" si="45"/>
        <v>0</v>
      </c>
      <c r="BK54" s="7" t="s">
        <v>229</v>
      </c>
      <c r="BL54" s="14" t="s">
        <v>86</v>
      </c>
    </row>
    <row r="55" spans="1:64" ht="12.75">
      <c r="A55" s="53" t="s">
        <v>44</v>
      </c>
      <c r="B55" s="53" t="s">
        <v>98</v>
      </c>
      <c r="C55" s="106" t="s">
        <v>157</v>
      </c>
      <c r="D55" s="107"/>
      <c r="E55" s="107"/>
      <c r="F55" s="107"/>
      <c r="G55" s="53" t="s">
        <v>177</v>
      </c>
      <c r="H55" s="7">
        <v>27</v>
      </c>
      <c r="I55" s="48">
        <v>0</v>
      </c>
      <c r="J55" s="7">
        <f t="shared" si="22"/>
        <v>0</v>
      </c>
      <c r="K55" s="7">
        <f t="shared" si="23"/>
        <v>0</v>
      </c>
      <c r="L55" s="7">
        <f t="shared" si="24"/>
        <v>0</v>
      </c>
      <c r="M55" s="15" t="s">
        <v>200</v>
      </c>
      <c r="N55" s="44"/>
      <c r="Z55" s="14">
        <f t="shared" si="25"/>
        <v>0</v>
      </c>
      <c r="AB55" s="14">
        <f t="shared" si="26"/>
        <v>0</v>
      </c>
      <c r="AC55" s="14">
        <f t="shared" si="27"/>
        <v>0</v>
      </c>
      <c r="AD55" s="14">
        <f t="shared" si="28"/>
        <v>0</v>
      </c>
      <c r="AE55" s="14">
        <f t="shared" si="29"/>
        <v>0</v>
      </c>
      <c r="AF55" s="14">
        <f t="shared" si="30"/>
        <v>0</v>
      </c>
      <c r="AG55" s="14">
        <f t="shared" si="31"/>
        <v>0</v>
      </c>
      <c r="AH55" s="14">
        <f t="shared" si="32"/>
        <v>0</v>
      </c>
      <c r="AI55" s="13"/>
      <c r="AJ55" s="7">
        <f t="shared" si="33"/>
        <v>0</v>
      </c>
      <c r="AK55" s="7">
        <f t="shared" si="34"/>
        <v>0</v>
      </c>
      <c r="AL55" s="7">
        <f t="shared" si="35"/>
        <v>0</v>
      </c>
      <c r="AN55" s="14">
        <v>21</v>
      </c>
      <c r="AO55" s="14">
        <f>I55*0</f>
        <v>0</v>
      </c>
      <c r="AP55" s="14">
        <f>I55*(1-0)</f>
        <v>0</v>
      </c>
      <c r="AQ55" s="15" t="s">
        <v>8</v>
      </c>
      <c r="AV55" s="14">
        <f t="shared" si="38"/>
        <v>0</v>
      </c>
      <c r="AW55" s="14">
        <f t="shared" si="39"/>
        <v>0</v>
      </c>
      <c r="AX55" s="14">
        <f t="shared" si="40"/>
        <v>0</v>
      </c>
      <c r="AY55" s="17" t="s">
        <v>218</v>
      </c>
      <c r="AZ55" s="17" t="s">
        <v>222</v>
      </c>
      <c r="BA55" s="13" t="s">
        <v>224</v>
      </c>
      <c r="BC55" s="14">
        <f t="shared" si="41"/>
        <v>0</v>
      </c>
      <c r="BD55" s="14">
        <f t="shared" si="42"/>
        <v>0</v>
      </c>
      <c r="BE55" s="14">
        <v>0</v>
      </c>
      <c r="BF55" s="14">
        <f>55</f>
        <v>55</v>
      </c>
      <c r="BH55" s="7">
        <f t="shared" si="43"/>
        <v>0</v>
      </c>
      <c r="BI55" s="7">
        <f t="shared" si="44"/>
        <v>0</v>
      </c>
      <c r="BJ55" s="7">
        <f t="shared" si="45"/>
        <v>0</v>
      </c>
      <c r="BK55" s="7" t="s">
        <v>229</v>
      </c>
      <c r="BL55" s="14" t="s">
        <v>86</v>
      </c>
    </row>
    <row r="56" spans="1:64" ht="12.75">
      <c r="A56" s="53" t="s">
        <v>45</v>
      </c>
      <c r="B56" s="53" t="s">
        <v>99</v>
      </c>
      <c r="C56" s="106" t="s">
        <v>158</v>
      </c>
      <c r="D56" s="107"/>
      <c r="E56" s="107"/>
      <c r="F56" s="107"/>
      <c r="G56" s="53" t="s">
        <v>177</v>
      </c>
      <c r="H56" s="7">
        <v>21</v>
      </c>
      <c r="I56" s="48">
        <v>0</v>
      </c>
      <c r="J56" s="7">
        <f t="shared" si="22"/>
        <v>0</v>
      </c>
      <c r="K56" s="7">
        <f t="shared" si="23"/>
        <v>0</v>
      </c>
      <c r="L56" s="7">
        <f t="shared" si="24"/>
        <v>0</v>
      </c>
      <c r="M56" s="15" t="s">
        <v>200</v>
      </c>
      <c r="N56" s="44"/>
      <c r="Z56" s="14">
        <f t="shared" si="25"/>
        <v>0</v>
      </c>
      <c r="AB56" s="14">
        <f t="shared" si="26"/>
        <v>0</v>
      </c>
      <c r="AC56" s="14">
        <f t="shared" si="27"/>
        <v>0</v>
      </c>
      <c r="AD56" s="14">
        <f t="shared" si="28"/>
        <v>0</v>
      </c>
      <c r="AE56" s="14">
        <f t="shared" si="29"/>
        <v>0</v>
      </c>
      <c r="AF56" s="14">
        <f t="shared" si="30"/>
        <v>0</v>
      </c>
      <c r="AG56" s="14">
        <f t="shared" si="31"/>
        <v>0</v>
      </c>
      <c r="AH56" s="14">
        <f t="shared" si="32"/>
        <v>0</v>
      </c>
      <c r="AI56" s="13"/>
      <c r="AJ56" s="7">
        <f t="shared" si="33"/>
        <v>0</v>
      </c>
      <c r="AK56" s="7">
        <f t="shared" si="34"/>
        <v>0</v>
      </c>
      <c r="AL56" s="7">
        <f t="shared" si="35"/>
        <v>0</v>
      </c>
      <c r="AN56" s="14">
        <v>21</v>
      </c>
      <c r="AO56" s="14">
        <f>I56*0.581783213407888</f>
        <v>0</v>
      </c>
      <c r="AP56" s="14">
        <f>I56*(1-0.581783213407888)</f>
        <v>0</v>
      </c>
      <c r="AQ56" s="15" t="s">
        <v>8</v>
      </c>
      <c r="AV56" s="14">
        <f t="shared" si="38"/>
        <v>0</v>
      </c>
      <c r="AW56" s="14">
        <f t="shared" si="39"/>
        <v>0</v>
      </c>
      <c r="AX56" s="14">
        <f t="shared" si="40"/>
        <v>0</v>
      </c>
      <c r="AY56" s="17" t="s">
        <v>218</v>
      </c>
      <c r="AZ56" s="17" t="s">
        <v>222</v>
      </c>
      <c r="BA56" s="13" t="s">
        <v>224</v>
      </c>
      <c r="BC56" s="14">
        <f t="shared" si="41"/>
        <v>0</v>
      </c>
      <c r="BD56" s="14">
        <f t="shared" si="42"/>
        <v>0</v>
      </c>
      <c r="BE56" s="14">
        <v>0</v>
      </c>
      <c r="BF56" s="14">
        <f>56</f>
        <v>56</v>
      </c>
      <c r="BH56" s="7">
        <f t="shared" si="43"/>
        <v>0</v>
      </c>
      <c r="BI56" s="7">
        <f t="shared" si="44"/>
        <v>0</v>
      </c>
      <c r="BJ56" s="7">
        <f t="shared" si="45"/>
        <v>0</v>
      </c>
      <c r="BK56" s="7" t="s">
        <v>229</v>
      </c>
      <c r="BL56" s="14" t="s">
        <v>86</v>
      </c>
    </row>
    <row r="57" spans="1:64" ht="12.75">
      <c r="A57" s="51" t="s">
        <v>46</v>
      </c>
      <c r="B57" s="51" t="s">
        <v>100</v>
      </c>
      <c r="C57" s="110" t="s">
        <v>159</v>
      </c>
      <c r="D57" s="111"/>
      <c r="E57" s="111"/>
      <c r="F57" s="111"/>
      <c r="G57" s="51" t="s">
        <v>176</v>
      </c>
      <c r="H57" s="8">
        <v>27</v>
      </c>
      <c r="I57" s="49">
        <v>0</v>
      </c>
      <c r="J57" s="8">
        <f t="shared" si="22"/>
        <v>0</v>
      </c>
      <c r="K57" s="8">
        <f t="shared" si="23"/>
        <v>0</v>
      </c>
      <c r="L57" s="8">
        <f t="shared" si="24"/>
        <v>0</v>
      </c>
      <c r="M57" s="16" t="s">
        <v>200</v>
      </c>
      <c r="N57" s="44"/>
      <c r="Z57" s="14">
        <f t="shared" si="25"/>
        <v>0</v>
      </c>
      <c r="AB57" s="14">
        <f t="shared" si="26"/>
        <v>0</v>
      </c>
      <c r="AC57" s="14">
        <f t="shared" si="27"/>
        <v>0</v>
      </c>
      <c r="AD57" s="14">
        <f t="shared" si="28"/>
        <v>0</v>
      </c>
      <c r="AE57" s="14">
        <f t="shared" si="29"/>
        <v>0</v>
      </c>
      <c r="AF57" s="14">
        <f t="shared" si="30"/>
        <v>0</v>
      </c>
      <c r="AG57" s="14">
        <f t="shared" si="31"/>
        <v>0</v>
      </c>
      <c r="AH57" s="14">
        <f t="shared" si="32"/>
        <v>0</v>
      </c>
      <c r="AI57" s="13"/>
      <c r="AJ57" s="8">
        <f t="shared" si="33"/>
        <v>0</v>
      </c>
      <c r="AK57" s="8">
        <f t="shared" si="34"/>
        <v>0</v>
      </c>
      <c r="AL57" s="8">
        <f t="shared" si="35"/>
        <v>0</v>
      </c>
      <c r="AN57" s="14">
        <v>21</v>
      </c>
      <c r="AO57" s="14">
        <f>I57*1</f>
        <v>0</v>
      </c>
      <c r="AP57" s="14">
        <f>I57*(1-1)</f>
        <v>0</v>
      </c>
      <c r="AQ57" s="16" t="s">
        <v>7</v>
      </c>
      <c r="AV57" s="14">
        <f t="shared" si="38"/>
        <v>0</v>
      </c>
      <c r="AW57" s="14">
        <f t="shared" si="39"/>
        <v>0</v>
      </c>
      <c r="AX57" s="14">
        <f t="shared" si="40"/>
        <v>0</v>
      </c>
      <c r="AY57" s="17" t="s">
        <v>218</v>
      </c>
      <c r="AZ57" s="17" t="s">
        <v>222</v>
      </c>
      <c r="BA57" s="13" t="s">
        <v>224</v>
      </c>
      <c r="BC57" s="14">
        <f t="shared" si="41"/>
        <v>0</v>
      </c>
      <c r="BD57" s="14">
        <f t="shared" si="42"/>
        <v>0</v>
      </c>
      <c r="BE57" s="14">
        <v>0</v>
      </c>
      <c r="BF57" s="14">
        <f>57</f>
        <v>57</v>
      </c>
      <c r="BH57" s="8">
        <f t="shared" si="43"/>
        <v>0</v>
      </c>
      <c r="BI57" s="8">
        <f t="shared" si="44"/>
        <v>0</v>
      </c>
      <c r="BJ57" s="8">
        <f t="shared" si="45"/>
        <v>0</v>
      </c>
      <c r="BK57" s="8" t="s">
        <v>230</v>
      </c>
      <c r="BL57" s="14" t="s">
        <v>86</v>
      </c>
    </row>
    <row r="58" spans="1:64" ht="12.75">
      <c r="A58" s="53" t="s">
        <v>47</v>
      </c>
      <c r="B58" s="53" t="s">
        <v>101</v>
      </c>
      <c r="C58" s="106" t="s">
        <v>160</v>
      </c>
      <c r="D58" s="107"/>
      <c r="E58" s="107"/>
      <c r="F58" s="107"/>
      <c r="G58" s="53" t="s">
        <v>181</v>
      </c>
      <c r="H58" s="7">
        <v>382</v>
      </c>
      <c r="I58" s="48">
        <v>0</v>
      </c>
      <c r="J58" s="7">
        <f t="shared" si="22"/>
        <v>0</v>
      </c>
      <c r="K58" s="7">
        <f t="shared" si="23"/>
        <v>0</v>
      </c>
      <c r="L58" s="7">
        <f t="shared" si="24"/>
        <v>0</v>
      </c>
      <c r="M58" s="15" t="s">
        <v>200</v>
      </c>
      <c r="N58" s="44"/>
      <c r="Z58" s="14">
        <f t="shared" si="25"/>
        <v>0</v>
      </c>
      <c r="AB58" s="14">
        <f t="shared" si="26"/>
        <v>0</v>
      </c>
      <c r="AC58" s="14">
        <f t="shared" si="27"/>
        <v>0</v>
      </c>
      <c r="AD58" s="14">
        <f t="shared" si="28"/>
        <v>0</v>
      </c>
      <c r="AE58" s="14">
        <f t="shared" si="29"/>
        <v>0</v>
      </c>
      <c r="AF58" s="14">
        <f t="shared" si="30"/>
        <v>0</v>
      </c>
      <c r="AG58" s="14">
        <f t="shared" si="31"/>
        <v>0</v>
      </c>
      <c r="AH58" s="14">
        <f t="shared" si="32"/>
        <v>0</v>
      </c>
      <c r="AI58" s="13"/>
      <c r="AJ58" s="7">
        <f t="shared" si="33"/>
        <v>0</v>
      </c>
      <c r="AK58" s="7">
        <f t="shared" si="34"/>
        <v>0</v>
      </c>
      <c r="AL58" s="7">
        <f t="shared" si="35"/>
        <v>0</v>
      </c>
      <c r="AN58" s="14">
        <v>21</v>
      </c>
      <c r="AO58" s="14">
        <f>I58*0.182456140350877</f>
        <v>0</v>
      </c>
      <c r="AP58" s="14">
        <f>I58*(1-0.182456140350877)</f>
        <v>0</v>
      </c>
      <c r="AQ58" s="15" t="s">
        <v>8</v>
      </c>
      <c r="AV58" s="14">
        <f t="shared" si="38"/>
        <v>0</v>
      </c>
      <c r="AW58" s="14">
        <f t="shared" si="39"/>
        <v>0</v>
      </c>
      <c r="AX58" s="14">
        <f t="shared" si="40"/>
        <v>0</v>
      </c>
      <c r="AY58" s="17" t="s">
        <v>218</v>
      </c>
      <c r="AZ58" s="17" t="s">
        <v>222</v>
      </c>
      <c r="BA58" s="13" t="s">
        <v>224</v>
      </c>
      <c r="BC58" s="14">
        <f t="shared" si="41"/>
        <v>0</v>
      </c>
      <c r="BD58" s="14">
        <f t="shared" si="42"/>
        <v>0</v>
      </c>
      <c r="BE58" s="14">
        <v>0</v>
      </c>
      <c r="BF58" s="14">
        <f>58</f>
        <v>58</v>
      </c>
      <c r="BH58" s="7">
        <f t="shared" si="43"/>
        <v>0</v>
      </c>
      <c r="BI58" s="7">
        <f t="shared" si="44"/>
        <v>0</v>
      </c>
      <c r="BJ58" s="7">
        <f t="shared" si="45"/>
        <v>0</v>
      </c>
      <c r="BK58" s="7" t="s">
        <v>229</v>
      </c>
      <c r="BL58" s="14" t="s">
        <v>86</v>
      </c>
    </row>
    <row r="59" spans="1:64" ht="12.75">
      <c r="A59" s="53" t="s">
        <v>48</v>
      </c>
      <c r="B59" s="53" t="s">
        <v>102</v>
      </c>
      <c r="C59" s="106" t="s">
        <v>161</v>
      </c>
      <c r="D59" s="107"/>
      <c r="E59" s="107"/>
      <c r="F59" s="107"/>
      <c r="G59" s="53" t="s">
        <v>181</v>
      </c>
      <c r="H59" s="7">
        <v>13</v>
      </c>
      <c r="I59" s="48">
        <v>0</v>
      </c>
      <c r="J59" s="7">
        <f t="shared" si="22"/>
        <v>0</v>
      </c>
      <c r="K59" s="7">
        <f t="shared" si="23"/>
        <v>0</v>
      </c>
      <c r="L59" s="7">
        <f t="shared" si="24"/>
        <v>0</v>
      </c>
      <c r="M59" s="15" t="s">
        <v>200</v>
      </c>
      <c r="N59" s="44"/>
      <c r="Z59" s="14">
        <f t="shared" si="25"/>
        <v>0</v>
      </c>
      <c r="AB59" s="14">
        <f t="shared" si="26"/>
        <v>0</v>
      </c>
      <c r="AC59" s="14">
        <f t="shared" si="27"/>
        <v>0</v>
      </c>
      <c r="AD59" s="14">
        <f t="shared" si="28"/>
        <v>0</v>
      </c>
      <c r="AE59" s="14">
        <f t="shared" si="29"/>
        <v>0</v>
      </c>
      <c r="AF59" s="14">
        <f t="shared" si="30"/>
        <v>0</v>
      </c>
      <c r="AG59" s="14">
        <f t="shared" si="31"/>
        <v>0</v>
      </c>
      <c r="AH59" s="14">
        <f t="shared" si="32"/>
        <v>0</v>
      </c>
      <c r="AI59" s="13"/>
      <c r="AJ59" s="7">
        <f t="shared" si="33"/>
        <v>0</v>
      </c>
      <c r="AK59" s="7">
        <f t="shared" si="34"/>
        <v>0</v>
      </c>
      <c r="AL59" s="7">
        <f t="shared" si="35"/>
        <v>0</v>
      </c>
      <c r="AN59" s="14">
        <v>21</v>
      </c>
      <c r="AO59" s="14">
        <f>I59*0.771596244131455</f>
        <v>0</v>
      </c>
      <c r="AP59" s="14">
        <f>I59*(1-0.771596244131455)</f>
        <v>0</v>
      </c>
      <c r="AQ59" s="15" t="s">
        <v>8</v>
      </c>
      <c r="AV59" s="14">
        <f t="shared" si="38"/>
        <v>0</v>
      </c>
      <c r="AW59" s="14">
        <f t="shared" si="39"/>
        <v>0</v>
      </c>
      <c r="AX59" s="14">
        <f t="shared" si="40"/>
        <v>0</v>
      </c>
      <c r="AY59" s="17" t="s">
        <v>218</v>
      </c>
      <c r="AZ59" s="17" t="s">
        <v>222</v>
      </c>
      <c r="BA59" s="13" t="s">
        <v>224</v>
      </c>
      <c r="BC59" s="14">
        <f t="shared" si="41"/>
        <v>0</v>
      </c>
      <c r="BD59" s="14">
        <f t="shared" si="42"/>
        <v>0</v>
      </c>
      <c r="BE59" s="14">
        <v>0</v>
      </c>
      <c r="BF59" s="14">
        <f>59</f>
        <v>59</v>
      </c>
      <c r="BH59" s="7">
        <f t="shared" si="43"/>
        <v>0</v>
      </c>
      <c r="BI59" s="7">
        <f t="shared" si="44"/>
        <v>0</v>
      </c>
      <c r="BJ59" s="7">
        <f t="shared" si="45"/>
        <v>0</v>
      </c>
      <c r="BK59" s="7" t="s">
        <v>229</v>
      </c>
      <c r="BL59" s="14" t="s">
        <v>86</v>
      </c>
    </row>
    <row r="60" spans="1:47" ht="12.75">
      <c r="A60" s="5"/>
      <c r="B60" s="52"/>
      <c r="C60" s="108" t="s">
        <v>162</v>
      </c>
      <c r="D60" s="109"/>
      <c r="E60" s="109"/>
      <c r="F60" s="109"/>
      <c r="G60" s="5" t="s">
        <v>6</v>
      </c>
      <c r="H60" s="5" t="s">
        <v>6</v>
      </c>
      <c r="I60" s="5" t="s">
        <v>6</v>
      </c>
      <c r="J60" s="19">
        <f>SUM(J61:J64)</f>
        <v>0</v>
      </c>
      <c r="K60" s="19">
        <f>SUM(K61:K64)</f>
        <v>0</v>
      </c>
      <c r="L60" s="19">
        <f>SUM(L61:L64)</f>
        <v>0</v>
      </c>
      <c r="M60" s="13"/>
      <c r="N60" s="44"/>
      <c r="AI60" s="13"/>
      <c r="AS60" s="19">
        <f>SUM(AJ61:AJ64)</f>
        <v>0</v>
      </c>
      <c r="AT60" s="19">
        <f>SUM(AK61:AK64)</f>
        <v>0</v>
      </c>
      <c r="AU60" s="19">
        <f>SUM(AL61:AL64)</f>
        <v>0</v>
      </c>
    </row>
    <row r="61" spans="1:64" ht="12.75">
      <c r="A61" s="51" t="s">
        <v>49</v>
      </c>
      <c r="B61" s="51" t="s">
        <v>103</v>
      </c>
      <c r="C61" s="110" t="s">
        <v>163</v>
      </c>
      <c r="D61" s="111"/>
      <c r="E61" s="111"/>
      <c r="F61" s="111"/>
      <c r="G61" s="51" t="s">
        <v>180</v>
      </c>
      <c r="H61" s="8">
        <v>1</v>
      </c>
      <c r="I61" s="49">
        <v>0</v>
      </c>
      <c r="J61" s="8">
        <f>H61*AO61</f>
        <v>0</v>
      </c>
      <c r="K61" s="8">
        <f>H61*AP61</f>
        <v>0</v>
      </c>
      <c r="L61" s="8">
        <f>H61*I61</f>
        <v>0</v>
      </c>
      <c r="M61" s="16"/>
      <c r="N61" s="44"/>
      <c r="Z61" s="14">
        <f>IF(AQ61="5",BJ61,0)</f>
        <v>0</v>
      </c>
      <c r="AB61" s="14">
        <f>IF(AQ61="1",BH61,0)</f>
        <v>0</v>
      </c>
      <c r="AC61" s="14">
        <f>IF(AQ61="1",BI61,0)</f>
        <v>0</v>
      </c>
      <c r="AD61" s="14">
        <f>IF(AQ61="7",BH61,0)</f>
        <v>0</v>
      </c>
      <c r="AE61" s="14">
        <f>IF(AQ61="7",BI61,0)</f>
        <v>0</v>
      </c>
      <c r="AF61" s="14">
        <f>IF(AQ61="2",BH61,0)</f>
        <v>0</v>
      </c>
      <c r="AG61" s="14">
        <f>IF(AQ61="2",BI61,0)</f>
        <v>0</v>
      </c>
      <c r="AH61" s="14">
        <f>IF(AQ61="0",BJ61,0)</f>
        <v>0</v>
      </c>
      <c r="AI61" s="13"/>
      <c r="AJ61" s="8">
        <f>IF(AN61=0,L61,0)</f>
        <v>0</v>
      </c>
      <c r="AK61" s="8">
        <f>IF(AN61=15,L61,0)</f>
        <v>0</v>
      </c>
      <c r="AL61" s="8">
        <f>IF(AN61=21,L61,0)</f>
        <v>0</v>
      </c>
      <c r="AN61" s="14">
        <v>21</v>
      </c>
      <c r="AO61" s="14">
        <f>I61*1</f>
        <v>0</v>
      </c>
      <c r="AP61" s="14">
        <f>I61*(1-1)</f>
        <v>0</v>
      </c>
      <c r="AQ61" s="16" t="s">
        <v>212</v>
      </c>
      <c r="AV61" s="14">
        <f>AW61+AX61</f>
        <v>0</v>
      </c>
      <c r="AW61" s="14">
        <f>H61*AO61</f>
        <v>0</v>
      </c>
      <c r="AX61" s="14">
        <f>H61*AP61</f>
        <v>0</v>
      </c>
      <c r="AY61" s="17" t="s">
        <v>219</v>
      </c>
      <c r="AZ61" s="17" t="s">
        <v>223</v>
      </c>
      <c r="BA61" s="13" t="s">
        <v>224</v>
      </c>
      <c r="BC61" s="14">
        <f>AW61+AX61</f>
        <v>0</v>
      </c>
      <c r="BD61" s="14">
        <f>I61/(100-BE61)*100</f>
        <v>0</v>
      </c>
      <c r="BE61" s="14">
        <v>0</v>
      </c>
      <c r="BF61" s="14">
        <f>61</f>
        <v>61</v>
      </c>
      <c r="BH61" s="8">
        <f>H61*AO61</f>
        <v>0</v>
      </c>
      <c r="BI61" s="8">
        <f>H61*AP61</f>
        <v>0</v>
      </c>
      <c r="BJ61" s="8">
        <f>H61*I61</f>
        <v>0</v>
      </c>
      <c r="BK61" s="8" t="s">
        <v>230</v>
      </c>
      <c r="BL61" s="14"/>
    </row>
    <row r="62" spans="1:64" ht="12.75">
      <c r="A62" s="51" t="s">
        <v>50</v>
      </c>
      <c r="B62" s="51" t="s">
        <v>104</v>
      </c>
      <c r="C62" s="110" t="s">
        <v>164</v>
      </c>
      <c r="D62" s="111"/>
      <c r="E62" s="111"/>
      <c r="F62" s="111"/>
      <c r="G62" s="51" t="s">
        <v>180</v>
      </c>
      <c r="H62" s="8">
        <v>1</v>
      </c>
      <c r="I62" s="49">
        <v>0</v>
      </c>
      <c r="J62" s="8">
        <f>H62*AO62</f>
        <v>0</v>
      </c>
      <c r="K62" s="8">
        <f>H62*AP62</f>
        <v>0</v>
      </c>
      <c r="L62" s="8">
        <f>H62*I62</f>
        <v>0</v>
      </c>
      <c r="M62" s="16"/>
      <c r="N62" s="44"/>
      <c r="Z62" s="14">
        <f>IF(AQ62="5",BJ62,0)</f>
        <v>0</v>
      </c>
      <c r="AB62" s="14">
        <f>IF(AQ62="1",BH62,0)</f>
        <v>0</v>
      </c>
      <c r="AC62" s="14">
        <f>IF(AQ62="1",BI62,0)</f>
        <v>0</v>
      </c>
      <c r="AD62" s="14">
        <f>IF(AQ62="7",BH62,0)</f>
        <v>0</v>
      </c>
      <c r="AE62" s="14">
        <f>IF(AQ62="7",BI62,0)</f>
        <v>0</v>
      </c>
      <c r="AF62" s="14">
        <f>IF(AQ62="2",BH62,0)</f>
        <v>0</v>
      </c>
      <c r="AG62" s="14">
        <f>IF(AQ62="2",BI62,0)</f>
        <v>0</v>
      </c>
      <c r="AH62" s="14">
        <f>IF(AQ62="0",BJ62,0)</f>
        <v>0</v>
      </c>
      <c r="AI62" s="13"/>
      <c r="AJ62" s="8">
        <f>IF(AN62=0,L62,0)</f>
        <v>0</v>
      </c>
      <c r="AK62" s="8">
        <f>IF(AN62=15,L62,0)</f>
        <v>0</v>
      </c>
      <c r="AL62" s="8">
        <f>IF(AN62=21,L62,0)</f>
        <v>0</v>
      </c>
      <c r="AN62" s="14">
        <v>21</v>
      </c>
      <c r="AO62" s="14">
        <f>I62*1</f>
        <v>0</v>
      </c>
      <c r="AP62" s="14">
        <f>I62*(1-1)</f>
        <v>0</v>
      </c>
      <c r="AQ62" s="16" t="s">
        <v>212</v>
      </c>
      <c r="AV62" s="14">
        <f>AW62+AX62</f>
        <v>0</v>
      </c>
      <c r="AW62" s="14">
        <f>H62*AO62</f>
        <v>0</v>
      </c>
      <c r="AX62" s="14">
        <f>H62*AP62</f>
        <v>0</v>
      </c>
      <c r="AY62" s="17" t="s">
        <v>219</v>
      </c>
      <c r="AZ62" s="17" t="s">
        <v>223</v>
      </c>
      <c r="BA62" s="13" t="s">
        <v>224</v>
      </c>
      <c r="BC62" s="14">
        <f>AW62+AX62</f>
        <v>0</v>
      </c>
      <c r="BD62" s="14">
        <f>I62/(100-BE62)*100</f>
        <v>0</v>
      </c>
      <c r="BE62" s="14">
        <v>0</v>
      </c>
      <c r="BF62" s="14">
        <f>62</f>
        <v>62</v>
      </c>
      <c r="BH62" s="8">
        <f>H62*AO62</f>
        <v>0</v>
      </c>
      <c r="BI62" s="8">
        <f>H62*AP62</f>
        <v>0</v>
      </c>
      <c r="BJ62" s="8">
        <f>H62*I62</f>
        <v>0</v>
      </c>
      <c r="BK62" s="8" t="s">
        <v>230</v>
      </c>
      <c r="BL62" s="14"/>
    </row>
    <row r="63" spans="1:64" ht="12.75">
      <c r="A63" s="51" t="s">
        <v>51</v>
      </c>
      <c r="B63" s="51" t="s">
        <v>105</v>
      </c>
      <c r="C63" s="110" t="s">
        <v>165</v>
      </c>
      <c r="D63" s="111"/>
      <c r="E63" s="111"/>
      <c r="F63" s="111"/>
      <c r="G63" s="51" t="s">
        <v>180</v>
      </c>
      <c r="H63" s="8">
        <v>1</v>
      </c>
      <c r="I63" s="49">
        <v>0</v>
      </c>
      <c r="J63" s="8">
        <f>H63*AO63</f>
        <v>0</v>
      </c>
      <c r="K63" s="8">
        <f>H63*AP63</f>
        <v>0</v>
      </c>
      <c r="L63" s="8">
        <f>H63*I63</f>
        <v>0</v>
      </c>
      <c r="M63" s="16"/>
      <c r="N63" s="44"/>
      <c r="Z63" s="14">
        <f>IF(AQ63="5",BJ63,0)</f>
        <v>0</v>
      </c>
      <c r="AB63" s="14">
        <f>IF(AQ63="1",BH63,0)</f>
        <v>0</v>
      </c>
      <c r="AC63" s="14">
        <f>IF(AQ63="1",BI63,0)</f>
        <v>0</v>
      </c>
      <c r="AD63" s="14">
        <f>IF(AQ63="7",BH63,0)</f>
        <v>0</v>
      </c>
      <c r="AE63" s="14">
        <f>IF(AQ63="7",BI63,0)</f>
        <v>0</v>
      </c>
      <c r="AF63" s="14">
        <f>IF(AQ63="2",BH63,0)</f>
        <v>0</v>
      </c>
      <c r="AG63" s="14">
        <f>IF(AQ63="2",BI63,0)</f>
        <v>0</v>
      </c>
      <c r="AH63" s="14">
        <f>IF(AQ63="0",BJ63,0)</f>
        <v>0</v>
      </c>
      <c r="AI63" s="13"/>
      <c r="AJ63" s="8">
        <f>IF(AN63=0,L63,0)</f>
        <v>0</v>
      </c>
      <c r="AK63" s="8">
        <f>IF(AN63=15,L63,0)</f>
        <v>0</v>
      </c>
      <c r="AL63" s="8">
        <f>IF(AN63=21,L63,0)</f>
        <v>0</v>
      </c>
      <c r="AN63" s="14">
        <v>21</v>
      </c>
      <c r="AO63" s="14">
        <f>I63*1</f>
        <v>0</v>
      </c>
      <c r="AP63" s="14">
        <f>I63*(1-1)</f>
        <v>0</v>
      </c>
      <c r="AQ63" s="16" t="s">
        <v>212</v>
      </c>
      <c r="AV63" s="14">
        <f>AW63+AX63</f>
        <v>0</v>
      </c>
      <c r="AW63" s="14">
        <f>H63*AO63</f>
        <v>0</v>
      </c>
      <c r="AX63" s="14">
        <f>H63*AP63</f>
        <v>0</v>
      </c>
      <c r="AY63" s="17" t="s">
        <v>219</v>
      </c>
      <c r="AZ63" s="17" t="s">
        <v>223</v>
      </c>
      <c r="BA63" s="13" t="s">
        <v>224</v>
      </c>
      <c r="BC63" s="14">
        <f>AW63+AX63</f>
        <v>0</v>
      </c>
      <c r="BD63" s="14">
        <f>I63/(100-BE63)*100</f>
        <v>0</v>
      </c>
      <c r="BE63" s="14">
        <v>0</v>
      </c>
      <c r="BF63" s="14">
        <f>63</f>
        <v>63</v>
      </c>
      <c r="BH63" s="8">
        <f>H63*AO63</f>
        <v>0</v>
      </c>
      <c r="BI63" s="8">
        <f>H63*AP63</f>
        <v>0</v>
      </c>
      <c r="BJ63" s="8">
        <f>H63*I63</f>
        <v>0</v>
      </c>
      <c r="BK63" s="8" t="s">
        <v>230</v>
      </c>
      <c r="BL63" s="14"/>
    </row>
    <row r="64" spans="1:64" ht="12.75">
      <c r="A64" s="51" t="s">
        <v>52</v>
      </c>
      <c r="B64" s="51" t="s">
        <v>106</v>
      </c>
      <c r="C64" s="110" t="s">
        <v>166</v>
      </c>
      <c r="D64" s="111"/>
      <c r="E64" s="111"/>
      <c r="F64" s="111"/>
      <c r="G64" s="51" t="s">
        <v>180</v>
      </c>
      <c r="H64" s="8">
        <v>1</v>
      </c>
      <c r="I64" s="49">
        <v>0</v>
      </c>
      <c r="J64" s="8">
        <f>H64*AO64</f>
        <v>0</v>
      </c>
      <c r="K64" s="8">
        <f>H64*AP64</f>
        <v>0</v>
      </c>
      <c r="L64" s="8">
        <f>H64*I64</f>
        <v>0</v>
      </c>
      <c r="M64" s="16"/>
      <c r="N64" s="44"/>
      <c r="Z64" s="14">
        <f>IF(AQ64="5",BJ64,0)</f>
        <v>0</v>
      </c>
      <c r="AB64" s="14">
        <f>IF(AQ64="1",BH64,0)</f>
        <v>0</v>
      </c>
      <c r="AC64" s="14">
        <f>IF(AQ64="1",BI64,0)</f>
        <v>0</v>
      </c>
      <c r="AD64" s="14">
        <f>IF(AQ64="7",BH64,0)</f>
        <v>0</v>
      </c>
      <c r="AE64" s="14">
        <f>IF(AQ64="7",BI64,0)</f>
        <v>0</v>
      </c>
      <c r="AF64" s="14">
        <f>IF(AQ64="2",BH64,0)</f>
        <v>0</v>
      </c>
      <c r="AG64" s="14">
        <f>IF(AQ64="2",BI64,0)</f>
        <v>0</v>
      </c>
      <c r="AH64" s="14">
        <f>IF(AQ64="0",BJ64,0)</f>
        <v>0</v>
      </c>
      <c r="AI64" s="13"/>
      <c r="AJ64" s="8">
        <f>IF(AN64=0,L64,0)</f>
        <v>0</v>
      </c>
      <c r="AK64" s="8">
        <f>IF(AN64=15,L64,0)</f>
        <v>0</v>
      </c>
      <c r="AL64" s="8">
        <f>IF(AN64=21,L64,0)</f>
        <v>0</v>
      </c>
      <c r="AN64" s="14">
        <v>21</v>
      </c>
      <c r="AO64" s="14">
        <f>I64*1</f>
        <v>0</v>
      </c>
      <c r="AP64" s="14">
        <f>I64*(1-1)</f>
        <v>0</v>
      </c>
      <c r="AQ64" s="16" t="s">
        <v>212</v>
      </c>
      <c r="AV64" s="14">
        <f>AW64+AX64</f>
        <v>0</v>
      </c>
      <c r="AW64" s="14">
        <f>H64*AO64</f>
        <v>0</v>
      </c>
      <c r="AX64" s="14">
        <f>H64*AP64</f>
        <v>0</v>
      </c>
      <c r="AY64" s="17" t="s">
        <v>219</v>
      </c>
      <c r="AZ64" s="17" t="s">
        <v>223</v>
      </c>
      <c r="BA64" s="13" t="s">
        <v>224</v>
      </c>
      <c r="BC64" s="14">
        <f>AW64+AX64</f>
        <v>0</v>
      </c>
      <c r="BD64" s="14">
        <f>I64/(100-BE64)*100</f>
        <v>0</v>
      </c>
      <c r="BE64" s="14">
        <v>0</v>
      </c>
      <c r="BF64" s="14">
        <f>64</f>
        <v>64</v>
      </c>
      <c r="BH64" s="8">
        <f>H64*AO64</f>
        <v>0</v>
      </c>
      <c r="BI64" s="8">
        <f>H64*AP64</f>
        <v>0</v>
      </c>
      <c r="BJ64" s="8">
        <f>H64*I64</f>
        <v>0</v>
      </c>
      <c r="BK64" s="8" t="s">
        <v>230</v>
      </c>
      <c r="BL64" s="14"/>
    </row>
    <row r="65" spans="1:47" ht="12.75">
      <c r="A65" s="5"/>
      <c r="B65" s="52" t="s">
        <v>107</v>
      </c>
      <c r="C65" s="108" t="s">
        <v>167</v>
      </c>
      <c r="D65" s="109"/>
      <c r="E65" s="109"/>
      <c r="F65" s="109"/>
      <c r="G65" s="5" t="s">
        <v>6</v>
      </c>
      <c r="H65" s="5" t="s">
        <v>6</v>
      </c>
      <c r="I65" s="5" t="s">
        <v>6</v>
      </c>
      <c r="J65" s="19">
        <f ca="1">SUM(J64:J66)</f>
        <v>0</v>
      </c>
      <c r="K65" s="19">
        <f ca="1">SUM(K64:K66)</f>
        <v>0</v>
      </c>
      <c r="L65" s="19">
        <f ca="1">SUM(L64:L66)</f>
        <v>0</v>
      </c>
      <c r="M65" s="13"/>
      <c r="N65" s="44"/>
      <c r="AI65" s="13"/>
      <c r="AS65" s="19">
        <f>SUM(AJ64:AJ66)</f>
        <v>0</v>
      </c>
      <c r="AT65" s="19">
        <f>SUM(AK64:AK66)</f>
        <v>0</v>
      </c>
      <c r="AU65" s="19">
        <f>SUM(AL64:AL66)</f>
        <v>0</v>
      </c>
    </row>
    <row r="66" spans="1:47" ht="12.75">
      <c r="A66" s="5"/>
      <c r="B66" s="52" t="s">
        <v>108</v>
      </c>
      <c r="C66" s="108" t="s">
        <v>164</v>
      </c>
      <c r="D66" s="109"/>
      <c r="E66" s="109"/>
      <c r="F66" s="109"/>
      <c r="G66" s="5" t="s">
        <v>6</v>
      </c>
      <c r="H66" s="5" t="s">
        <v>6</v>
      </c>
      <c r="I66" s="5" t="s">
        <v>6</v>
      </c>
      <c r="J66" s="19">
        <f ca="1">SUM(J64:J67)</f>
        <v>0</v>
      </c>
      <c r="K66" s="19">
        <f ca="1">SUM(K64:K67)</f>
        <v>0</v>
      </c>
      <c r="L66" s="19">
        <f ca="1">SUM(L64:L67)</f>
        <v>0</v>
      </c>
      <c r="M66" s="13"/>
      <c r="N66" s="44"/>
      <c r="AI66" s="13"/>
      <c r="AS66" s="19">
        <f>SUM(AJ64:AJ67)</f>
        <v>0</v>
      </c>
      <c r="AT66" s="19">
        <f>SUM(AK64:AK67)</f>
        <v>0</v>
      </c>
      <c r="AU66" s="19">
        <f>SUM(AL64:AL67)</f>
        <v>0</v>
      </c>
    </row>
    <row r="67" spans="1:13" ht="12.75">
      <c r="A67" s="44"/>
      <c r="B67" s="44"/>
      <c r="C67" s="44"/>
      <c r="D67" s="44"/>
      <c r="E67" s="44"/>
      <c r="F67" s="44"/>
      <c r="G67" s="44"/>
      <c r="H67" s="44"/>
      <c r="I67" s="44"/>
      <c r="J67" s="123" t="s">
        <v>195</v>
      </c>
      <c r="K67" s="62"/>
      <c r="L67" s="21">
        <f ca="1">L12+L15+L20+L23+L25+L43+L60+L65+L66</f>
        <v>0</v>
      </c>
      <c r="M67" s="44"/>
    </row>
    <row r="68" ht="11.25" customHeight="1">
      <c r="A68" s="3" t="s">
        <v>53</v>
      </c>
    </row>
    <row r="69" spans="1:13" ht="12.75">
      <c r="A69" s="67" t="s">
        <v>54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</row>
  </sheetData>
  <sheetProtection algorithmName="SHA-512" hashValue="VpjgaGX+pukeT1AA2tHrPRQYLGuRvL60H8L5rtw1GK3B3HYSWZ+5iYdvAcjkA/OaeGHfCiQfAQR0Yysdxim6iQ==" saltValue="ZfOEXkqXK2BP4Lj77TeQrg==" spinCount="100000" sheet="1" objects="1" scenarios="1"/>
  <mergeCells count="85">
    <mergeCell ref="A69:M69"/>
    <mergeCell ref="C63:F63"/>
    <mergeCell ref="C64:F64"/>
    <mergeCell ref="C65:F65"/>
    <mergeCell ref="C66:F66"/>
    <mergeCell ref="J67:K67"/>
    <mergeCell ref="C58:F58"/>
    <mergeCell ref="C59:F59"/>
    <mergeCell ref="C60:F60"/>
    <mergeCell ref="C61:F61"/>
    <mergeCell ref="C62:F62"/>
    <mergeCell ref="C53:F53"/>
    <mergeCell ref="C54:F54"/>
    <mergeCell ref="C55:F55"/>
    <mergeCell ref="C56:F56"/>
    <mergeCell ref="C57:F57"/>
    <mergeCell ref="C48:F48"/>
    <mergeCell ref="C49:F49"/>
    <mergeCell ref="C50:F50"/>
    <mergeCell ref="C51:F51"/>
    <mergeCell ref="C52:F52"/>
    <mergeCell ref="C43:F43"/>
    <mergeCell ref="C44:F44"/>
    <mergeCell ref="C45:F45"/>
    <mergeCell ref="C46:F46"/>
    <mergeCell ref="C47:F47"/>
    <mergeCell ref="C38:F38"/>
    <mergeCell ref="C39:F39"/>
    <mergeCell ref="C40:F40"/>
    <mergeCell ref="C41:F41"/>
    <mergeCell ref="C42:F42"/>
    <mergeCell ref="C33:F33"/>
    <mergeCell ref="C34:F34"/>
    <mergeCell ref="C35:F35"/>
    <mergeCell ref="C36:F36"/>
    <mergeCell ref="C37:F37"/>
    <mergeCell ref="C28:F28"/>
    <mergeCell ref="C29:F29"/>
    <mergeCell ref="C30:F30"/>
    <mergeCell ref="C31:F31"/>
    <mergeCell ref="C32:F32"/>
    <mergeCell ref="C23:F23"/>
    <mergeCell ref="C24:F24"/>
    <mergeCell ref="C25:F25"/>
    <mergeCell ref="C26:F26"/>
    <mergeCell ref="C27:F27"/>
    <mergeCell ref="C18:F18"/>
    <mergeCell ref="C19:F19"/>
    <mergeCell ref="C20:F20"/>
    <mergeCell ref="C21:F21"/>
    <mergeCell ref="C22:F22"/>
    <mergeCell ref="C13:F13"/>
    <mergeCell ref="C14:F14"/>
    <mergeCell ref="C15:F15"/>
    <mergeCell ref="C16:F16"/>
    <mergeCell ref="C17:F17"/>
    <mergeCell ref="J8:M9"/>
    <mergeCell ref="C10:F10"/>
    <mergeCell ref="J10:L10"/>
    <mergeCell ref="C11:F11"/>
    <mergeCell ref="C12:F12"/>
    <mergeCell ref="A8:B9"/>
    <mergeCell ref="C8:D9"/>
    <mergeCell ref="E8:F9"/>
    <mergeCell ref="G8:H9"/>
    <mergeCell ref="I8:I9"/>
    <mergeCell ref="J4:M5"/>
    <mergeCell ref="A6:B7"/>
    <mergeCell ref="C6:D7"/>
    <mergeCell ref="E6:F7"/>
    <mergeCell ref="G6:H7"/>
    <mergeCell ref="I6:I7"/>
    <mergeCell ref="J6:M7"/>
    <mergeCell ref="A4:B5"/>
    <mergeCell ref="C4:D5"/>
    <mergeCell ref="E4:F5"/>
    <mergeCell ref="G4:H5"/>
    <mergeCell ref="I4:I5"/>
    <mergeCell ref="A1:M1"/>
    <mergeCell ref="A2:B3"/>
    <mergeCell ref="C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3"/>
  <sheetViews>
    <sheetView tabSelected="1" workbookViewId="0" topLeftCell="A1">
      <pane ySplit="10" topLeftCell="A11" activePane="bottomLeft" state="frozen"/>
      <selection pane="bottomLeft"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42.8515625" style="0" customWidth="1"/>
    <col min="5" max="5" width="14.28125" style="0" customWidth="1"/>
    <col min="6" max="6" width="24.140625" style="0" customWidth="1"/>
    <col min="7" max="7" width="15.7109375" style="0" customWidth="1"/>
    <col min="8" max="8" width="18.140625" style="0" customWidth="1"/>
  </cols>
  <sheetData>
    <row r="1" spans="1:8" ht="73" customHeight="1">
      <c r="A1" s="93" t="s">
        <v>238</v>
      </c>
      <c r="B1" s="55"/>
      <c r="C1" s="55"/>
      <c r="D1" s="55"/>
      <c r="E1" s="55"/>
      <c r="F1" s="55"/>
      <c r="G1" s="55"/>
      <c r="H1" s="55"/>
    </row>
    <row r="2" spans="1:9" ht="12.75">
      <c r="A2" s="56" t="s">
        <v>1</v>
      </c>
      <c r="B2" s="57"/>
      <c r="C2" s="60" t="str">
        <f>'Stavební rozpočet'!C2</f>
        <v>Veřejné osvětlení Radkova Lhota</v>
      </c>
      <c r="D2" s="61"/>
      <c r="E2" s="63" t="s">
        <v>185</v>
      </c>
      <c r="F2" s="63" t="str">
        <f>'Stavební rozpočet'!J2</f>
        <v>Obec Radkova Lhota</v>
      </c>
      <c r="G2" s="57"/>
      <c r="H2" s="99"/>
      <c r="I2" s="11"/>
    </row>
    <row r="3" spans="1:9" ht="12.75">
      <c r="A3" s="58"/>
      <c r="B3" s="59"/>
      <c r="C3" s="62"/>
      <c r="D3" s="62"/>
      <c r="E3" s="59"/>
      <c r="F3" s="59"/>
      <c r="G3" s="59"/>
      <c r="H3" s="65"/>
      <c r="I3" s="11"/>
    </row>
    <row r="4" spans="1:9" ht="12.75">
      <c r="A4" s="66" t="s">
        <v>2</v>
      </c>
      <c r="B4" s="59"/>
      <c r="C4" s="67" t="str">
        <f>'Stavební rozpočet'!C4</f>
        <v>veřejné osvětlení</v>
      </c>
      <c r="D4" s="59"/>
      <c r="E4" s="67" t="s">
        <v>186</v>
      </c>
      <c r="F4" s="67" t="str">
        <f>'Stavební rozpočet'!J4</f>
        <v>Ing.Jana Šarniková</v>
      </c>
      <c r="G4" s="59"/>
      <c r="H4" s="65"/>
      <c r="I4" s="11"/>
    </row>
    <row r="5" spans="1:9" ht="12.75">
      <c r="A5" s="58"/>
      <c r="B5" s="59"/>
      <c r="C5" s="59"/>
      <c r="D5" s="59"/>
      <c r="E5" s="59"/>
      <c r="F5" s="59"/>
      <c r="G5" s="59"/>
      <c r="H5" s="65"/>
      <c r="I5" s="11"/>
    </row>
    <row r="6" spans="1:9" ht="12.75">
      <c r="A6" s="66" t="s">
        <v>3</v>
      </c>
      <c r="B6" s="59"/>
      <c r="C6" s="67" t="str">
        <f>'Stavební rozpočet'!C6</f>
        <v>Radkova Lhota</v>
      </c>
      <c r="D6" s="59"/>
      <c r="E6" s="67" t="s">
        <v>187</v>
      </c>
      <c r="F6" s="67" t="str">
        <f>'Stavební rozpočet'!J6</f>
        <v>Ing.Jana Šarniková</v>
      </c>
      <c r="G6" s="59"/>
      <c r="H6" s="65"/>
      <c r="I6" s="11"/>
    </row>
    <row r="7" spans="1:9" ht="12.75">
      <c r="A7" s="58"/>
      <c r="B7" s="59"/>
      <c r="C7" s="59"/>
      <c r="D7" s="59"/>
      <c r="E7" s="59"/>
      <c r="F7" s="59"/>
      <c r="G7" s="59"/>
      <c r="H7" s="65"/>
      <c r="I7" s="11"/>
    </row>
    <row r="8" spans="1:9" ht="12.75">
      <c r="A8" s="66" t="s">
        <v>188</v>
      </c>
      <c r="B8" s="59"/>
      <c r="C8" s="67" t="str">
        <f>'Stavební rozpočet'!J8</f>
        <v>Ing.Jana Šarniková</v>
      </c>
      <c r="D8" s="59"/>
      <c r="E8" s="67" t="s">
        <v>171</v>
      </c>
      <c r="F8" s="67" t="str">
        <f>'Stavební rozpočet'!G8</f>
        <v>06.03.2022</v>
      </c>
      <c r="G8" s="59"/>
      <c r="H8" s="65"/>
      <c r="I8" s="11"/>
    </row>
    <row r="9" spans="1:9" ht="12.75">
      <c r="A9" s="96"/>
      <c r="B9" s="97"/>
      <c r="C9" s="97"/>
      <c r="D9" s="97"/>
      <c r="E9" s="97"/>
      <c r="F9" s="97"/>
      <c r="G9" s="97"/>
      <c r="H9" s="98"/>
      <c r="I9" s="11"/>
    </row>
    <row r="10" spans="1:9" ht="12.75">
      <c r="A10" s="22" t="s">
        <v>5</v>
      </c>
      <c r="B10" s="23" t="s">
        <v>233</v>
      </c>
      <c r="C10" s="23" t="s">
        <v>55</v>
      </c>
      <c r="D10" s="112" t="s">
        <v>112</v>
      </c>
      <c r="E10" s="113"/>
      <c r="F10" s="23" t="s">
        <v>175</v>
      </c>
      <c r="G10" s="24" t="s">
        <v>184</v>
      </c>
      <c r="H10" s="25" t="s">
        <v>239</v>
      </c>
      <c r="I10" s="1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ht="11.25" customHeight="1">
      <c r="A12" s="3" t="s">
        <v>53</v>
      </c>
    </row>
    <row r="13" spans="1:7" ht="12.75">
      <c r="A13" s="67" t="s">
        <v>54</v>
      </c>
      <c r="B13" s="59"/>
      <c r="C13" s="59"/>
      <c r="D13" s="59"/>
      <c r="E13" s="59"/>
      <c r="F13" s="59"/>
      <c r="G13" s="59"/>
    </row>
  </sheetData>
  <sheetProtection password="8778" sheet="1" objects="1" scenarios="1"/>
  <mergeCells count="19">
    <mergeCell ref="A13:G13"/>
    <mergeCell ref="A6:B7"/>
    <mergeCell ref="C6:D7"/>
    <mergeCell ref="E6:E7"/>
    <mergeCell ref="F6:H7"/>
    <mergeCell ref="A8:B9"/>
    <mergeCell ref="C8:D9"/>
    <mergeCell ref="E8:E9"/>
    <mergeCell ref="F8:H9"/>
    <mergeCell ref="A4:B5"/>
    <mergeCell ref="C4:D5"/>
    <mergeCell ref="E4:E5"/>
    <mergeCell ref="F4:H5"/>
    <mergeCell ref="D10:E10"/>
    <mergeCell ref="A1:H1"/>
    <mergeCell ref="A2:B3"/>
    <mergeCell ref="C2:D3"/>
    <mergeCell ref="E2:E3"/>
    <mergeCell ref="F2:H3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</cp:lastModifiedBy>
  <dcterms:created xsi:type="dcterms:W3CDTF">2022-03-28T12:57:32Z</dcterms:created>
  <dcterms:modified xsi:type="dcterms:W3CDTF">2022-03-28T13:00:12Z</dcterms:modified>
  <cp:category/>
  <cp:version/>
  <cp:contentType/>
  <cp:contentStatus/>
</cp:coreProperties>
</file>